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lotusdat\database-general\database 2023\Q2\"/>
    </mc:Choice>
  </mc:AlternateContent>
  <xr:revisionPtr revIDLastSave="0" documentId="13_ncr:1_{F643FB29-4801-412C-977C-2C0ACAB68A2F}" xr6:coauthVersionLast="47" xr6:coauthVersionMax="47" xr10:uidLastSave="{00000000-0000-0000-0000-000000000000}"/>
  <bookViews>
    <workbookView xWindow="-120" yWindow="-120" windowWidth="29040" windowHeight="15840" tabRatio="689" xr2:uid="{00000000-000D-0000-FFFF-FFFF00000000}"/>
  </bookViews>
  <sheets>
    <sheet name="Portfolio Appraisal" sheetId="1" r:id="rId1"/>
    <sheet name="Performance" sheetId="4" r:id="rId2"/>
    <sheet name="Transactions" sheetId="3" r:id="rId3"/>
    <sheet name="Contributions&amp;Withdrawals" sheetId="5" r:id="rId4"/>
    <sheet name="Commissions" sheetId="2" r:id="rId5"/>
    <sheet name="Sheet1" sheetId="6" r:id="rId6"/>
    <sheet name="Sheet2" sheetId="8" r:id="rId7"/>
    <sheet name="Sheet3" sheetId="7" r:id="rId8"/>
    <sheet name="Sheet4" sheetId="11" r:id="rId9"/>
    <sheet name="Sheet5" sheetId="10" r:id="rId10"/>
  </sheets>
  <definedNames>
    <definedName name="_xlnm.Print_Area" localSheetId="4">Commissions!$A$1:$G$16</definedName>
    <definedName name="_xlnm.Print_Area" localSheetId="1">Performance!$A$1:$H$9</definedName>
  </definedNames>
  <calcPr calcId="191029"/>
</workbook>
</file>

<file path=xl/calcChain.xml><?xml version="1.0" encoding="utf-8"?>
<calcChain xmlns="http://schemas.openxmlformats.org/spreadsheetml/2006/main">
  <c r="E11" i="2" l="1"/>
  <c r="E12" i="2"/>
  <c r="D11" i="2"/>
  <c r="D12" i="2"/>
  <c r="B9" i="3" l="1"/>
  <c r="A9" i="3"/>
  <c r="A10" i="3"/>
  <c r="K13" i="7" l="1"/>
  <c r="J13" i="7"/>
  <c r="E13" i="7"/>
  <c r="D13" i="7"/>
  <c r="C13" i="7"/>
  <c r="K12" i="7"/>
  <c r="J12" i="7"/>
  <c r="E12" i="7"/>
  <c r="D12" i="7"/>
  <c r="C12" i="7"/>
  <c r="K11" i="7"/>
  <c r="J11" i="7"/>
  <c r="I11" i="7"/>
  <c r="H11" i="7"/>
  <c r="G11" i="7"/>
  <c r="F11" i="7"/>
  <c r="E11" i="7"/>
  <c r="D11" i="7"/>
  <c r="C11" i="7"/>
  <c r="B11" i="7"/>
  <c r="A11" i="7"/>
  <c r="K7" i="7"/>
  <c r="J7" i="7"/>
  <c r="I7" i="7"/>
  <c r="H7" i="7"/>
  <c r="E7" i="7"/>
  <c r="D7" i="7"/>
  <c r="C7" i="7"/>
  <c r="K6" i="7"/>
  <c r="J6" i="7"/>
  <c r="I6" i="7"/>
  <c r="H6" i="7"/>
  <c r="E6" i="7"/>
  <c r="D6" i="7"/>
  <c r="C6" i="7"/>
  <c r="K5" i="7"/>
  <c r="J5" i="7"/>
  <c r="E5" i="7"/>
  <c r="D5" i="7"/>
  <c r="C5" i="7"/>
  <c r="K4" i="7"/>
  <c r="J4" i="7"/>
  <c r="I4" i="7"/>
  <c r="H4" i="7"/>
  <c r="F4" i="7"/>
  <c r="E4" i="7"/>
  <c r="D4" i="7"/>
  <c r="C4" i="7"/>
  <c r="K3" i="7"/>
  <c r="J3" i="7"/>
  <c r="E3" i="7"/>
  <c r="D3" i="7"/>
  <c r="C3" i="7"/>
  <c r="K2" i="7"/>
  <c r="J2" i="7"/>
  <c r="I2" i="7"/>
  <c r="H2" i="7"/>
  <c r="F2" i="7"/>
  <c r="E2" i="7"/>
  <c r="D2" i="7"/>
  <c r="C2" i="7"/>
  <c r="K1" i="7"/>
  <c r="J1" i="7"/>
  <c r="I1" i="7"/>
  <c r="H1" i="7"/>
  <c r="G1" i="7"/>
  <c r="F1" i="7"/>
  <c r="E1" i="7"/>
  <c r="D1" i="7"/>
  <c r="C1" i="7"/>
  <c r="B1" i="7"/>
  <c r="A1" i="7"/>
  <c r="B8" i="8"/>
  <c r="A8" i="8"/>
  <c r="B7" i="8"/>
  <c r="A7" i="8"/>
  <c r="N6" i="8"/>
  <c r="M6" i="8"/>
  <c r="L6" i="8"/>
  <c r="K6" i="8"/>
  <c r="J6" i="8"/>
  <c r="I6" i="8"/>
  <c r="H6" i="8"/>
  <c r="G6" i="8"/>
  <c r="F6" i="8"/>
  <c r="E6" i="8"/>
  <c r="D6" i="8"/>
  <c r="C6" i="8"/>
  <c r="B6" i="8"/>
  <c r="A6" i="8"/>
  <c r="B4" i="8"/>
  <c r="A4" i="8"/>
  <c r="B3" i="8"/>
  <c r="A3" i="8"/>
  <c r="J2" i="8"/>
  <c r="I2" i="8"/>
  <c r="H2" i="8"/>
  <c r="G2" i="8"/>
  <c r="F2" i="8"/>
  <c r="E2" i="8"/>
  <c r="D2" i="8"/>
  <c r="C2" i="8"/>
  <c r="B2" i="8"/>
  <c r="A2" i="8"/>
  <c r="B18" i="8"/>
  <c r="A18" i="8"/>
  <c r="B17" i="8"/>
  <c r="A17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16" i="8"/>
  <c r="B14" i="8"/>
  <c r="B13" i="8"/>
  <c r="J12" i="8"/>
  <c r="I12" i="8"/>
  <c r="H12" i="8"/>
  <c r="G12" i="8"/>
  <c r="F12" i="8"/>
  <c r="E12" i="8"/>
  <c r="D12" i="8"/>
  <c r="C12" i="8"/>
  <c r="B12" i="8"/>
  <c r="A12" i="8"/>
  <c r="A9" i="8"/>
  <c r="B9" i="8"/>
  <c r="C9" i="8"/>
  <c r="D9" i="8"/>
  <c r="E9" i="8"/>
  <c r="F9" i="8"/>
  <c r="G9" i="8"/>
  <c r="H9" i="8"/>
  <c r="I9" i="8"/>
  <c r="J9" i="8"/>
  <c r="K9" i="8"/>
  <c r="L9" i="8"/>
  <c r="M9" i="8"/>
  <c r="N9" i="8"/>
  <c r="O9" i="8"/>
  <c r="A57" i="6"/>
  <c r="B57" i="6"/>
  <c r="C57" i="6"/>
  <c r="G57" i="6"/>
  <c r="J57" i="6"/>
  <c r="A59" i="6"/>
  <c r="B59" i="6"/>
  <c r="C59" i="6"/>
  <c r="G59" i="6"/>
  <c r="J59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18" i="6"/>
  <c r="J55" i="6"/>
  <c r="G55" i="6"/>
  <c r="B55" i="6"/>
  <c r="C55" i="6"/>
  <c r="A55" i="6"/>
  <c r="J53" i="6"/>
  <c r="C53" i="6"/>
  <c r="A53" i="6"/>
  <c r="C52" i="6"/>
  <c r="A52" i="6"/>
  <c r="J51" i="6"/>
  <c r="C51" i="6"/>
  <c r="A51" i="6"/>
  <c r="J50" i="6"/>
  <c r="C50" i="6"/>
  <c r="A50" i="6"/>
  <c r="C49" i="6"/>
  <c r="A49" i="6"/>
  <c r="J48" i="6"/>
  <c r="C48" i="6"/>
  <c r="A48" i="6"/>
  <c r="J47" i="6"/>
  <c r="C47" i="6"/>
  <c r="A47" i="6"/>
  <c r="C46" i="6"/>
  <c r="A46" i="6"/>
  <c r="J45" i="6"/>
  <c r="C45" i="6"/>
  <c r="A45" i="6"/>
  <c r="J44" i="6"/>
  <c r="C44" i="6"/>
  <c r="A44" i="6"/>
  <c r="C43" i="6"/>
  <c r="A43" i="6"/>
  <c r="J42" i="6"/>
  <c r="C42" i="6"/>
  <c r="A42" i="6"/>
  <c r="J41" i="6"/>
  <c r="C41" i="6"/>
  <c r="A41" i="6"/>
  <c r="C40" i="6"/>
  <c r="A40" i="6"/>
  <c r="J39" i="6"/>
  <c r="C39" i="6"/>
  <c r="A39" i="6"/>
  <c r="J38" i="6"/>
  <c r="C38" i="6"/>
  <c r="A38" i="6"/>
  <c r="J37" i="6"/>
  <c r="C37" i="6"/>
  <c r="A37" i="6"/>
  <c r="J36" i="6"/>
  <c r="C36" i="6"/>
  <c r="A36" i="6"/>
  <c r="J35" i="6"/>
  <c r="C35" i="6"/>
  <c r="A35" i="6"/>
  <c r="J34" i="6"/>
  <c r="C34" i="6"/>
  <c r="A34" i="6"/>
  <c r="J33" i="6"/>
  <c r="C33" i="6"/>
  <c r="A33" i="6"/>
  <c r="C32" i="6"/>
  <c r="A32" i="6"/>
  <c r="J31" i="6"/>
  <c r="C31" i="6"/>
  <c r="A31" i="6"/>
  <c r="J30" i="6"/>
  <c r="C30" i="6"/>
  <c r="A30" i="6"/>
  <c r="J29" i="6"/>
  <c r="C29" i="6"/>
  <c r="A29" i="6"/>
  <c r="J28" i="6"/>
  <c r="C28" i="6"/>
  <c r="A28" i="6"/>
  <c r="J27" i="6"/>
  <c r="C27" i="6"/>
  <c r="A27" i="6"/>
  <c r="C26" i="6"/>
  <c r="A26" i="6"/>
  <c r="C25" i="6"/>
  <c r="A25" i="6"/>
  <c r="J24" i="6"/>
  <c r="C24" i="6"/>
  <c r="A24" i="6"/>
  <c r="J23" i="6"/>
  <c r="C23" i="6"/>
  <c r="A23" i="6"/>
  <c r="J22" i="6"/>
  <c r="C22" i="6"/>
  <c r="A22" i="6"/>
  <c r="J21" i="6"/>
  <c r="C21" i="6"/>
  <c r="A21" i="6"/>
  <c r="J20" i="6"/>
  <c r="C20" i="6"/>
  <c r="A20" i="6"/>
  <c r="J19" i="6"/>
  <c r="C19" i="6"/>
  <c r="A19" i="6"/>
  <c r="J18" i="6"/>
  <c r="C18" i="6"/>
  <c r="A18" i="6"/>
  <c r="J17" i="6"/>
  <c r="I17" i="6"/>
  <c r="H17" i="6"/>
  <c r="F17" i="6"/>
  <c r="G17" i="6"/>
  <c r="B17" i="6"/>
  <c r="D17" i="6"/>
  <c r="C17" i="6"/>
  <c r="A17" i="6"/>
  <c r="A14" i="6"/>
  <c r="C14" i="6"/>
  <c r="D14" i="6"/>
  <c r="B14" i="6"/>
  <c r="G14" i="6"/>
  <c r="F14" i="6"/>
  <c r="H14" i="6"/>
  <c r="I14" i="6"/>
  <c r="J14" i="6"/>
  <c r="J11" i="6" l="1"/>
  <c r="I11" i="6"/>
  <c r="H11" i="6"/>
  <c r="G11" i="6"/>
  <c r="F11" i="6"/>
  <c r="D11" i="6"/>
  <c r="C11" i="6"/>
  <c r="B11" i="6"/>
  <c r="A11" i="6"/>
  <c r="J9" i="6"/>
  <c r="I9" i="6"/>
  <c r="H9" i="6"/>
  <c r="F9" i="6"/>
  <c r="G9" i="6"/>
  <c r="B9" i="6"/>
  <c r="D9" i="6"/>
  <c r="C9" i="6"/>
  <c r="A9" i="6"/>
  <c r="G16" i="2"/>
  <c r="F12" i="3"/>
  <c r="A6" i="6"/>
  <c r="J6" i="6"/>
  <c r="I6" i="6"/>
  <c r="H6" i="6"/>
  <c r="F6" i="6"/>
  <c r="G6" i="6"/>
  <c r="B6" i="6"/>
  <c r="D6" i="6"/>
  <c r="C6" i="6"/>
  <c r="F16" i="2"/>
  <c r="F11" i="5" l="1"/>
  <c r="B5" i="2"/>
  <c r="F4" i="5"/>
  <c r="D4" i="5"/>
</calcChain>
</file>

<file path=xl/sharedStrings.xml><?xml version="1.0" encoding="utf-8"?>
<sst xmlns="http://schemas.openxmlformats.org/spreadsheetml/2006/main" count="230" uniqueCount="146">
  <si>
    <t>% OF</t>
  </si>
  <si>
    <t>UNIT</t>
  </si>
  <si>
    <t>MARKET</t>
  </si>
  <si>
    <t>UNREALIZED</t>
  </si>
  <si>
    <t>QUANTITY</t>
  </si>
  <si>
    <t>DESCRIPTION</t>
  </si>
  <si>
    <t>ASSETS</t>
  </si>
  <si>
    <t>COST</t>
  </si>
  <si>
    <t>VALUE</t>
  </si>
  <si>
    <t>GAIN(LOSS)</t>
  </si>
  <si>
    <t>______________</t>
  </si>
  <si>
    <t>_____________</t>
  </si>
  <si>
    <t>Indiana PERF</t>
  </si>
  <si>
    <t>Kirr Marbach - Gross</t>
  </si>
  <si>
    <t>Kirr Marbach - Net</t>
  </si>
  <si>
    <t>Quarter</t>
  </si>
  <si>
    <t>One Year</t>
  </si>
  <si>
    <t>Two Years</t>
  </si>
  <si>
    <t>Three Years</t>
  </si>
  <si>
    <t>Five Years</t>
  </si>
  <si>
    <t>Inception to Date*</t>
  </si>
  <si>
    <t>*account started 8/22/2008</t>
  </si>
  <si>
    <t>TRADE</t>
  </si>
  <si>
    <t>DOLLAR</t>
  </si>
  <si>
    <t>DATE</t>
  </si>
  <si>
    <t>AMOUNT</t>
  </si>
  <si>
    <t>TOTAL</t>
  </si>
  <si>
    <t>TRANSACTION</t>
  </si>
  <si>
    <t>_____________________</t>
  </si>
  <si>
    <t>__________________</t>
  </si>
  <si>
    <t>___________</t>
  </si>
  <si>
    <t>_________</t>
  </si>
  <si>
    <t>TRANSACTIONS</t>
  </si>
  <si>
    <t>One Month</t>
  </si>
  <si>
    <t>CONTRIBUTIONS AND WITHDRAWALS</t>
  </si>
  <si>
    <t>LEADING EDGE INVESTMENT ADVISORS, LLC</t>
  </si>
  <si>
    <t>Brokerage / Commission Report</t>
  </si>
  <si>
    <t>Manager Name:</t>
  </si>
  <si>
    <t>Kirr, Marbach &amp; Co LLC</t>
  </si>
  <si>
    <t>For the Period Ending:</t>
  </si>
  <si>
    <t>Length of Period:</t>
  </si>
  <si>
    <t>Total</t>
  </si>
  <si>
    <t>Client Name</t>
  </si>
  <si>
    <t>Executing Broker</t>
  </si>
  <si>
    <t>Commissions</t>
  </si>
  <si>
    <t>Shares</t>
  </si>
  <si>
    <t>TOTAL CLIENT</t>
  </si>
  <si>
    <t>Monthly</t>
  </si>
  <si>
    <t>Date</t>
  </si>
  <si>
    <t>Buy/Sell</t>
  </si>
  <si>
    <t>Ticker</t>
  </si>
  <si>
    <t>INPERF INDIANA PUBLIC EMPLOYEES' RETIREMENT FUND</t>
  </si>
  <si>
    <t>Annualized</t>
  </si>
  <si>
    <t>INPERF</t>
  </si>
  <si>
    <t>SYMBOL</t>
  </si>
  <si>
    <t>Target 100/0</t>
  </si>
  <si>
    <t xml:space="preserve"> UNIT</t>
  </si>
  <si>
    <t>INDIANA PUBLIC EMPLOYEES' RETIREMENT FUND</t>
  </si>
  <si>
    <t>Performance as of:</t>
  </si>
  <si>
    <t>(PR8F)</t>
  </si>
  <si>
    <t>INP</t>
  </si>
  <si>
    <t>Russell 2500</t>
  </si>
  <si>
    <t>None</t>
  </si>
  <si>
    <t>ACCRUED</t>
  </si>
  <si>
    <t>INCOME</t>
  </si>
  <si>
    <t>Indiana Public Employees' Retirement Fund (955542, Pension)</t>
  </si>
  <si>
    <t>Gross</t>
  </si>
  <si>
    <t>Net</t>
  </si>
  <si>
    <t>ALIT</t>
  </si>
  <si>
    <t>Alight Inc</t>
  </si>
  <si>
    <t/>
  </si>
  <si>
    <t>GOOGL</t>
  </si>
  <si>
    <t>Alphabet Inc</t>
  </si>
  <si>
    <t>ATEX</t>
  </si>
  <si>
    <t>Anterix Inc</t>
  </si>
  <si>
    <t>AON</t>
  </si>
  <si>
    <t>Aon PLC</t>
  </si>
  <si>
    <t>APG</t>
  </si>
  <si>
    <t>API Group Corp</t>
  </si>
  <si>
    <t>AZO</t>
  </si>
  <si>
    <t>AutoZone Inc</t>
  </si>
  <si>
    <t>AVGO</t>
  </si>
  <si>
    <t>Broadcom Inc</t>
  </si>
  <si>
    <t>BAM</t>
  </si>
  <si>
    <t>Brookfield Asset Management Inc Class A</t>
  </si>
  <si>
    <t>BN</t>
  </si>
  <si>
    <t>Brookfield Corp</t>
  </si>
  <si>
    <t>CP</t>
  </si>
  <si>
    <t>Canadian Pacific Kansas City Ltd</t>
  </si>
  <si>
    <t>CIGI</t>
  </si>
  <si>
    <t>Colliers International Group</t>
  </si>
  <si>
    <t>CTRA</t>
  </si>
  <si>
    <t>Coterra Energy Inc</t>
  </si>
  <si>
    <t>DLTR</t>
  </si>
  <si>
    <t>Dollar Tree Inc</t>
  </si>
  <si>
    <t>DBX</t>
  </si>
  <si>
    <t>Dropbox Inc</t>
  </si>
  <si>
    <t>EBAY</t>
  </si>
  <si>
    <t>eBay Inc</t>
  </si>
  <si>
    <t>EME</t>
  </si>
  <si>
    <t>EMCOR Group Inc</t>
  </si>
  <si>
    <t>GXO</t>
  </si>
  <si>
    <t>GXO Logistics Inc</t>
  </si>
  <si>
    <t>ICUI</t>
  </si>
  <si>
    <t>ICU Medical Inc</t>
  </si>
  <si>
    <t>INMD</t>
  </si>
  <si>
    <t>InMode Ltd</t>
  </si>
  <si>
    <t>IOSP</t>
  </si>
  <si>
    <t>Innospec Inc</t>
  </si>
  <si>
    <t>LSXMA</t>
  </si>
  <si>
    <t>Liberty SiriusXM Group A</t>
  </si>
  <si>
    <t>LSXMK</t>
  </si>
  <si>
    <t>Liberty SiriusXM Group C</t>
  </si>
  <si>
    <t>MPC</t>
  </si>
  <si>
    <t>Marathon Petroleum Corp</t>
  </si>
  <si>
    <t>MKL</t>
  </si>
  <si>
    <t>Markel Group Inc</t>
  </si>
  <si>
    <t>MTZ</t>
  </si>
  <si>
    <t>MasTec Inc</t>
  </si>
  <si>
    <t>PXD</t>
  </si>
  <si>
    <t>Pioneer Natural Resources Co</t>
  </si>
  <si>
    <t>RSG</t>
  </si>
  <si>
    <t>Republic Services Inc</t>
  </si>
  <si>
    <t>RXO</t>
  </si>
  <si>
    <t>RXO Inc</t>
  </si>
  <si>
    <t>SSNC</t>
  </si>
  <si>
    <t>SS&amp;C Technologies Holdings Inc</t>
  </si>
  <si>
    <t>LRN</t>
  </si>
  <si>
    <t>Stride Inc</t>
  </si>
  <si>
    <t>BCO</t>
  </si>
  <si>
    <t>The Brink's Co</t>
  </si>
  <si>
    <t>SHYF</t>
  </si>
  <si>
    <t>The Shyft Group Inc</t>
  </si>
  <si>
    <t>VC</t>
  </si>
  <si>
    <t>Visteon Corp</t>
  </si>
  <si>
    <t>VST</t>
  </si>
  <si>
    <t>Vistra Corp</t>
  </si>
  <si>
    <t>VOYA</t>
  </si>
  <si>
    <t>Voya Financial Inc</t>
  </si>
  <si>
    <t>DIS</t>
  </si>
  <si>
    <t>Walt Disney Co</t>
  </si>
  <si>
    <t>CASH</t>
  </si>
  <si>
    <t>Cash</t>
  </si>
  <si>
    <t>Managed Assets Total</t>
  </si>
  <si>
    <t>Sale</t>
  </si>
  <si>
    <t>Cowen and Company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</si>
</sst>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"/>
    <numFmt numFmtId="166" formatCode="mm/dd/yy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2" fillId="0" borderId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</cellStyleXfs>
  <cellXfs count="63">
    <xf numFmtId="0" fontId="0" fillId="0" borderId="0" xfId="0"/>
    <xf numFmtId="14" fontId="0" fillId="0" borderId="0" xfId="0" applyNumberFormat="1"/>
    <xf numFmtId="4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17" fontId="0" fillId="0" borderId="0" xfId="0" applyNumberFormat="1"/>
    <xf numFmtId="0" fontId="6" fillId="0" borderId="0" xfId="0" applyFont="1"/>
    <xf numFmtId="0" fontId="7" fillId="0" borderId="2" xfId="0" applyFont="1" applyBorder="1"/>
    <xf numFmtId="0" fontId="4" fillId="0" borderId="3" xfId="0" applyFont="1" applyBorder="1"/>
    <xf numFmtId="164" fontId="8" fillId="0" borderId="0" xfId="0" applyNumberFormat="1" applyFont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/>
    <xf numFmtId="0" fontId="7" fillId="0" borderId="3" xfId="0" applyFont="1" applyBorder="1"/>
    <xf numFmtId="0" fontId="4" fillId="0" borderId="6" xfId="0" applyFont="1" applyBorder="1"/>
    <xf numFmtId="3" fontId="4" fillId="0" borderId="0" xfId="0" applyNumberFormat="1" applyFont="1"/>
    <xf numFmtId="44" fontId="4" fillId="0" borderId="0" xfId="0" applyNumberFormat="1" applyFont="1"/>
    <xf numFmtId="0" fontId="9" fillId="0" borderId="0" xfId="0" applyFont="1"/>
    <xf numFmtId="4" fontId="9" fillId="0" borderId="0" xfId="0" applyNumberFormat="1" applyFont="1"/>
    <xf numFmtId="3" fontId="9" fillId="0" borderId="0" xfId="0" applyNumberFormat="1" applyFont="1"/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10" fillId="0" borderId="0" xfId="0" applyFont="1"/>
    <xf numFmtId="2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right"/>
    </xf>
    <xf numFmtId="14" fontId="10" fillId="0" borderId="0" xfId="0" applyNumberFormat="1" applyFont="1"/>
    <xf numFmtId="4" fontId="10" fillId="0" borderId="0" xfId="0" applyNumberFormat="1" applyFont="1"/>
    <xf numFmtId="0" fontId="3" fillId="0" borderId="0" xfId="0" applyFont="1"/>
    <xf numFmtId="165" fontId="11" fillId="0" borderId="0" xfId="0" applyNumberFormat="1" applyFont="1" applyAlignment="1">
      <alignment horizontal="right"/>
    </xf>
    <xf numFmtId="43" fontId="11" fillId="0" borderId="0" xfId="1" applyFont="1" applyAlignment="1">
      <alignment horizontal="right"/>
    </xf>
    <xf numFmtId="0" fontId="11" fillId="0" borderId="0" xfId="0" applyFont="1"/>
    <xf numFmtId="43" fontId="3" fillId="0" borderId="0" xfId="1" applyFont="1"/>
    <xf numFmtId="43" fontId="3" fillId="0" borderId="0" xfId="1" applyFont="1" applyAlignment="1">
      <alignment horizontal="right"/>
    </xf>
    <xf numFmtId="14" fontId="3" fillId="0" borderId="0" xfId="0" applyNumberFormat="1" applyFont="1"/>
    <xf numFmtId="4" fontId="12" fillId="0" borderId="0" xfId="0" applyNumberFormat="1" applyFont="1"/>
    <xf numFmtId="166" fontId="3" fillId="0" borderId="0" xfId="0" applyNumberFormat="1" applyFont="1" applyAlignment="1">
      <alignment horizontal="right"/>
    </xf>
    <xf numFmtId="14" fontId="4" fillId="0" borderId="0" xfId="0" applyNumberFormat="1" applyFont="1"/>
    <xf numFmtId="44" fontId="0" fillId="0" borderId="0" xfId="0" applyNumberFormat="1"/>
    <xf numFmtId="166" fontId="0" fillId="0" borderId="0" xfId="0" applyNumberFormat="1" applyAlignment="1">
      <alignment horizontal="right"/>
    </xf>
    <xf numFmtId="0" fontId="3" fillId="0" borderId="0" xfId="0" applyFont="1" applyAlignment="1">
      <alignment horizontal="left"/>
    </xf>
    <xf numFmtId="43" fontId="3" fillId="0" borderId="0" xfId="1" applyFont="1" applyAlignment="1"/>
    <xf numFmtId="43" fontId="11" fillId="0" borderId="0" xfId="1" applyFont="1" applyAlignment="1"/>
    <xf numFmtId="43" fontId="11" fillId="0" borderId="0" xfId="1" applyFont="1"/>
    <xf numFmtId="166" fontId="3" fillId="0" borderId="0" xfId="1" quotePrefix="1" applyNumberFormat="1" applyFont="1" applyAlignment="1"/>
    <xf numFmtId="0" fontId="0" fillId="0" borderId="1" xfId="0" applyBorder="1"/>
    <xf numFmtId="2" fontId="0" fillId="0" borderId="1" xfId="0" applyNumberForma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9" fillId="0" borderId="0" xfId="6" applyFont="1"/>
    <xf numFmtId="2" fontId="3" fillId="0" borderId="0" xfId="0" applyNumberFormat="1" applyFont="1"/>
    <xf numFmtId="165" fontId="1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10" fontId="0" fillId="0" borderId="0" xfId="0" applyNumberFormat="1"/>
    <xf numFmtId="0" fontId="0" fillId="0" borderId="0" xfId="0" applyAlignment="1">
      <alignment wrapText="1"/>
    </xf>
    <xf numFmtId="0" fontId="14" fillId="0" borderId="0" xfId="0" applyFont="1"/>
    <xf numFmtId="10" fontId="0" fillId="0" borderId="0" xfId="0" applyNumberFormat="1" applyAlignment="1">
      <alignment wrapText="1"/>
    </xf>
    <xf numFmtId="0" fontId="0" fillId="0" borderId="0" xfId="0" applyAlignment="1">
      <alignment horizontal="center" wrapText="1"/>
    </xf>
  </cellXfs>
  <cellStyles count="11">
    <cellStyle name="Comma" xfId="1" builtinId="3"/>
    <cellStyle name="Comma 2" xfId="2" xr:uid="{00000000-0005-0000-0000-000001000000}"/>
    <cellStyle name="Comma 3" xfId="3" xr:uid="{00000000-0005-0000-0000-000002000000}"/>
    <cellStyle name="Comma 3 2" xfId="8" xr:uid="{00000000-0005-0000-0000-000003000000}"/>
    <cellStyle name="Comma 4" xfId="7" xr:uid="{00000000-0005-0000-0000-000004000000}"/>
    <cellStyle name="Comma 4 2" xfId="10" xr:uid="{00000000-0005-0000-0000-000005000000}"/>
    <cellStyle name="Normal" xfId="0" builtinId="0"/>
    <cellStyle name="Normal 2" xfId="4" xr:uid="{00000000-0005-0000-0000-000007000000}"/>
    <cellStyle name="Normal 2 2" xfId="9" xr:uid="{00000000-0005-0000-0000-000008000000}"/>
    <cellStyle name="Normal 3" xfId="5" xr:uid="{00000000-0005-0000-0000-000009000000}"/>
    <cellStyle name="Normal 3 2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184109</xdr:colOff>
      <xdr:row>40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06BDDA-2D00-8976-7931-74806DE7C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156909" cy="6534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38100</xdr:rowOff>
    </xdr:from>
    <xdr:to>
      <xdr:col>13</xdr:col>
      <xdr:colOff>235677</xdr:colOff>
      <xdr:row>27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CCE403-569C-7A85-0977-4CEC67669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361950"/>
          <a:ext cx="7465152" cy="4048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60"/>
  <sheetViews>
    <sheetView tabSelected="1" workbookViewId="0">
      <selection activeCell="M23" sqref="M23"/>
    </sheetView>
  </sheetViews>
  <sheetFormatPr defaultColWidth="9.140625" defaultRowHeight="12.75" x14ac:dyDescent="0.2"/>
  <cols>
    <col min="1" max="1" width="8.85546875" style="32" bestFit="1" customWidth="1"/>
    <col min="2" max="2" width="14.140625" style="32" customWidth="1"/>
    <col min="3" max="3" width="36.85546875" style="32" bestFit="1" customWidth="1"/>
    <col min="4" max="4" width="9.5703125" style="32" bestFit="1" customWidth="1"/>
    <col min="5" max="5" width="12.42578125" style="32" bestFit="1" customWidth="1"/>
    <col min="6" max="6" width="12.7109375" style="36" bestFit="1" customWidth="1"/>
    <col min="7" max="7" width="8.28515625" style="32" bestFit="1" customWidth="1"/>
    <col min="8" max="8" width="12.7109375" style="45" bestFit="1" customWidth="1"/>
    <col min="9" max="9" width="14.140625" style="36" bestFit="1" customWidth="1"/>
    <col min="10" max="10" width="10" style="32" bestFit="1" customWidth="1"/>
    <col min="11" max="12" width="9.140625" style="32"/>
    <col min="13" max="13" width="32.85546875" style="32" bestFit="1" customWidth="1"/>
    <col min="14" max="14" width="9.140625" style="32"/>
    <col min="15" max="17" width="12.7109375" style="32" bestFit="1" customWidth="1"/>
    <col min="18" max="18" width="12.42578125" style="32" bestFit="1" customWidth="1"/>
    <col min="19" max="19" width="11.7109375" style="32" bestFit="1" customWidth="1"/>
    <col min="20" max="16384" width="9.140625" style="32"/>
  </cols>
  <sheetData>
    <row r="2" spans="1:19" x14ac:dyDescent="0.2">
      <c r="A2" s="32" t="s">
        <v>53</v>
      </c>
      <c r="B2" s="32" t="s">
        <v>57</v>
      </c>
      <c r="E2" s="36" t="s">
        <v>55</v>
      </c>
      <c r="H2" s="48">
        <v>45077</v>
      </c>
    </row>
    <row r="3" spans="1:19" x14ac:dyDescent="0.2">
      <c r="A3" s="44">
        <v>955542</v>
      </c>
      <c r="B3" s="32" t="s">
        <v>59</v>
      </c>
    </row>
    <row r="4" spans="1:19" x14ac:dyDescent="0.2">
      <c r="D4" s="36" t="s">
        <v>0</v>
      </c>
      <c r="E4" s="37" t="s">
        <v>56</v>
      </c>
      <c r="G4" s="37" t="s">
        <v>1</v>
      </c>
      <c r="H4" s="45" t="s">
        <v>2</v>
      </c>
      <c r="I4" s="36" t="s">
        <v>3</v>
      </c>
      <c r="J4" t="s">
        <v>63</v>
      </c>
      <c r="K4" s="2"/>
      <c r="L4" s="2"/>
      <c r="M4" s="2"/>
      <c r="N4" s="2"/>
      <c r="O4"/>
      <c r="P4" s="2"/>
      <c r="Q4" s="2"/>
      <c r="R4"/>
    </row>
    <row r="5" spans="1:19" x14ac:dyDescent="0.2">
      <c r="A5" s="35" t="s">
        <v>54</v>
      </c>
      <c r="B5" s="35" t="s">
        <v>4</v>
      </c>
      <c r="C5" s="55" t="s">
        <v>5</v>
      </c>
      <c r="D5" s="34" t="s">
        <v>6</v>
      </c>
      <c r="E5" s="34" t="s">
        <v>7</v>
      </c>
      <c r="F5" s="34" t="s">
        <v>7</v>
      </c>
      <c r="G5" s="34" t="s">
        <v>8</v>
      </c>
      <c r="H5" s="46" t="s">
        <v>8</v>
      </c>
      <c r="I5" s="47" t="s">
        <v>9</v>
      </c>
      <c r="J5" t="s">
        <v>64</v>
      </c>
      <c r="K5" s="2"/>
      <c r="L5" s="2"/>
      <c r="M5" s="2"/>
      <c r="N5" s="2"/>
      <c r="O5" s="2"/>
      <c r="P5" s="2"/>
      <c r="Q5" s="2"/>
      <c r="R5"/>
    </row>
    <row r="6" spans="1:19" x14ac:dyDescent="0.2">
      <c r="A6" s="35"/>
      <c r="B6" s="35"/>
      <c r="C6" s="33"/>
      <c r="D6" s="34"/>
      <c r="E6" s="34"/>
      <c r="F6" s="34"/>
      <c r="G6" s="34"/>
      <c r="H6" s="46"/>
      <c r="I6" s="47"/>
      <c r="K6" s="2"/>
      <c r="L6" s="2"/>
      <c r="M6" s="2"/>
      <c r="N6" s="2"/>
      <c r="O6" s="2"/>
      <c r="P6" s="2"/>
      <c r="Q6" s="2"/>
      <c r="R6"/>
    </row>
    <row r="7" spans="1:19" x14ac:dyDescent="0.2">
      <c r="A7" t="s">
        <v>68</v>
      </c>
      <c r="B7" s="2">
        <v>43750</v>
      </c>
      <c r="C7" t="s">
        <v>69</v>
      </c>
      <c r="D7" s="58">
        <v>1.9699999999999999E-2</v>
      </c>
      <c r="E7" s="25">
        <v>9.2308550857142855</v>
      </c>
      <c r="F7" s="2">
        <v>403849.91</v>
      </c>
      <c r="G7">
        <v>8.4600000000000009</v>
      </c>
      <c r="H7" s="2">
        <v>370125</v>
      </c>
      <c r="I7" s="2">
        <v>-33724.910000000003</v>
      </c>
      <c r="J7" t="s">
        <v>70</v>
      </c>
      <c r="K7" s="2"/>
      <c r="L7" s="2"/>
      <c r="M7" s="2"/>
      <c r="N7" s="2"/>
      <c r="O7" s="2"/>
      <c r="P7" s="2"/>
      <c r="Q7" s="2"/>
      <c r="R7"/>
    </row>
    <row r="8" spans="1:19" x14ac:dyDescent="0.2">
      <c r="A8" t="s">
        <v>71</v>
      </c>
      <c r="B8" s="2">
        <v>5420</v>
      </c>
      <c r="C8" t="s">
        <v>72</v>
      </c>
      <c r="D8" s="58">
        <v>3.5499999999999997E-2</v>
      </c>
      <c r="E8" s="25">
        <v>62.905739852398519</v>
      </c>
      <c r="F8" s="2">
        <v>340949.11</v>
      </c>
      <c r="G8">
        <v>122.87</v>
      </c>
      <c r="H8" s="2">
        <v>665955.4</v>
      </c>
      <c r="I8" s="2">
        <v>325006.28999999998</v>
      </c>
      <c r="J8" t="s">
        <v>70</v>
      </c>
      <c r="K8" s="2"/>
      <c r="L8" s="2"/>
      <c r="M8" s="2"/>
      <c r="N8" s="2"/>
      <c r="O8" s="2"/>
      <c r="P8" s="2"/>
      <c r="Q8" s="2"/>
      <c r="R8" s="2"/>
      <c r="S8" s="2"/>
    </row>
    <row r="9" spans="1:19" x14ac:dyDescent="0.2">
      <c r="A9" t="s">
        <v>73</v>
      </c>
      <c r="B9" s="2">
        <v>8180</v>
      </c>
      <c r="C9" t="s">
        <v>74</v>
      </c>
      <c r="D9" s="58">
        <v>1.4200000000000001E-2</v>
      </c>
      <c r="E9" s="25">
        <v>59.017672371638142</v>
      </c>
      <c r="F9" s="2">
        <v>482764.56</v>
      </c>
      <c r="G9">
        <v>32.65</v>
      </c>
      <c r="H9" s="2">
        <v>267077</v>
      </c>
      <c r="I9" s="2">
        <v>-215687.56</v>
      </c>
      <c r="J9" t="s">
        <v>70</v>
      </c>
      <c r="K9"/>
      <c r="L9" s="2"/>
      <c r="M9"/>
      <c r="N9" s="2"/>
      <c r="O9" s="2"/>
      <c r="P9" s="2"/>
      <c r="Q9" s="2"/>
      <c r="R9" s="2"/>
      <c r="S9" s="2"/>
    </row>
    <row r="10" spans="1:19" x14ac:dyDescent="0.2">
      <c r="A10" t="s">
        <v>75</v>
      </c>
      <c r="B10" s="2">
        <v>2047</v>
      </c>
      <c r="C10" t="s">
        <v>76</v>
      </c>
      <c r="D10" s="58">
        <v>3.3599999999999998E-2</v>
      </c>
      <c r="E10" s="25">
        <v>105.31171958964337</v>
      </c>
      <c r="F10" s="2">
        <v>215573.09</v>
      </c>
      <c r="G10">
        <v>308.29000000000002</v>
      </c>
      <c r="H10" s="2">
        <v>631069.63</v>
      </c>
      <c r="I10" s="2">
        <v>415496.54</v>
      </c>
      <c r="J10" s="2" t="s">
        <v>70</v>
      </c>
      <c r="K10"/>
      <c r="L10" s="2"/>
      <c r="M10"/>
      <c r="N10" s="2"/>
      <c r="O10" s="2"/>
      <c r="P10" s="2"/>
      <c r="Q10" s="2"/>
      <c r="R10" s="2"/>
      <c r="S10" s="2"/>
    </row>
    <row r="11" spans="1:19" x14ac:dyDescent="0.2">
      <c r="A11" t="s">
        <v>77</v>
      </c>
      <c r="B11" s="2">
        <v>23785</v>
      </c>
      <c r="C11" t="s">
        <v>78</v>
      </c>
      <c r="D11" s="58">
        <v>2.87E-2</v>
      </c>
      <c r="E11" s="25">
        <v>18.734204750893419</v>
      </c>
      <c r="F11" s="2">
        <v>445593.06</v>
      </c>
      <c r="G11">
        <v>22.6</v>
      </c>
      <c r="H11" s="2">
        <v>537541</v>
      </c>
      <c r="I11" s="2">
        <v>91947.94</v>
      </c>
      <c r="J11" t="s">
        <v>70</v>
      </c>
      <c r="K11" s="2"/>
      <c r="L11" s="2"/>
      <c r="M11"/>
      <c r="N11" s="2"/>
      <c r="O11" s="2"/>
      <c r="P11" s="2"/>
      <c r="Q11" s="2"/>
      <c r="R11" s="2"/>
      <c r="S11" s="2"/>
    </row>
    <row r="12" spans="1:19" x14ac:dyDescent="0.2">
      <c r="A12" t="s">
        <v>79</v>
      </c>
      <c r="B12">
        <v>464</v>
      </c>
      <c r="C12" t="s">
        <v>80</v>
      </c>
      <c r="D12" s="58">
        <v>5.91E-2</v>
      </c>
      <c r="E12" s="25">
        <v>406.86829741379313</v>
      </c>
      <c r="F12" s="2">
        <v>188786.89</v>
      </c>
      <c r="G12" s="2">
        <v>2386.84</v>
      </c>
      <c r="H12" s="2">
        <v>1107493.76</v>
      </c>
      <c r="I12" s="2">
        <v>918706.87</v>
      </c>
      <c r="J12" t="s">
        <v>70</v>
      </c>
      <c r="K12"/>
      <c r="L12" s="2"/>
      <c r="M12" s="2"/>
      <c r="N12" s="2"/>
      <c r="O12" s="2"/>
      <c r="P12" s="2"/>
      <c r="Q12" s="2"/>
      <c r="R12" s="2"/>
      <c r="S12" s="2"/>
    </row>
    <row r="13" spans="1:19" x14ac:dyDescent="0.2">
      <c r="A13" t="s">
        <v>81</v>
      </c>
      <c r="B13" s="2">
        <v>1458</v>
      </c>
      <c r="C13" t="s">
        <v>82</v>
      </c>
      <c r="D13" s="58">
        <v>6.2799999999999995E-2</v>
      </c>
      <c r="E13" s="25">
        <v>253.43285322359395</v>
      </c>
      <c r="F13" s="2">
        <v>369505.1</v>
      </c>
      <c r="G13">
        <v>807.96</v>
      </c>
      <c r="H13" s="2">
        <v>1178005.68</v>
      </c>
      <c r="I13" s="2">
        <v>808500.58</v>
      </c>
      <c r="J13" t="s">
        <v>70</v>
      </c>
      <c r="K13" s="2"/>
      <c r="L13" s="2"/>
      <c r="M13"/>
      <c r="N13" s="2"/>
      <c r="O13" s="2"/>
      <c r="P13" s="2"/>
      <c r="Q13" s="2"/>
      <c r="R13" s="2"/>
      <c r="S13" s="2"/>
    </row>
    <row r="14" spans="1:19" x14ac:dyDescent="0.2">
      <c r="A14" t="s">
        <v>83</v>
      </c>
      <c r="B14" s="2">
        <v>2732</v>
      </c>
      <c r="C14" t="s">
        <v>84</v>
      </c>
      <c r="D14" s="58">
        <v>4.4999999999999997E-3</v>
      </c>
      <c r="E14" s="25">
        <v>36.599363103953152</v>
      </c>
      <c r="F14" s="2">
        <v>99989.46</v>
      </c>
      <c r="G14">
        <v>30.52</v>
      </c>
      <c r="H14" s="2">
        <v>83380.639999999999</v>
      </c>
      <c r="I14" s="2">
        <v>-16608.82</v>
      </c>
      <c r="J14">
        <v>1065.48</v>
      </c>
      <c r="K14"/>
      <c r="L14" s="2"/>
      <c r="M14"/>
      <c r="N14" s="2"/>
      <c r="O14" s="2"/>
      <c r="P14" s="2"/>
      <c r="Q14" s="2"/>
      <c r="R14" s="2"/>
      <c r="S14" s="2"/>
    </row>
    <row r="15" spans="1:19" x14ac:dyDescent="0.2">
      <c r="A15" t="s">
        <v>85</v>
      </c>
      <c r="B15" s="2">
        <v>10930</v>
      </c>
      <c r="C15" t="s">
        <v>86</v>
      </c>
      <c r="D15" s="58">
        <v>1.7500000000000002E-2</v>
      </c>
      <c r="E15" s="25">
        <v>39.73085727355901</v>
      </c>
      <c r="F15" s="2">
        <v>434258.27</v>
      </c>
      <c r="G15">
        <v>30.04</v>
      </c>
      <c r="H15" s="2">
        <v>328337.2</v>
      </c>
      <c r="I15" s="2">
        <v>-105921.07</v>
      </c>
      <c r="J15">
        <v>765.1</v>
      </c>
      <c r="K15"/>
      <c r="L15" s="2"/>
      <c r="M15"/>
      <c r="N15" s="2"/>
      <c r="O15" s="2"/>
      <c r="P15" s="2"/>
      <c r="Q15" s="2"/>
      <c r="R15" s="2"/>
      <c r="S15" s="2"/>
    </row>
    <row r="16" spans="1:19" x14ac:dyDescent="0.2">
      <c r="A16" t="s">
        <v>87</v>
      </c>
      <c r="B16" s="2">
        <v>6420</v>
      </c>
      <c r="C16" t="s">
        <v>88</v>
      </c>
      <c r="D16" s="58">
        <v>2.6100000000000002E-2</v>
      </c>
      <c r="E16" s="25">
        <v>73.631208722741434</v>
      </c>
      <c r="F16" s="2">
        <v>472712.36</v>
      </c>
      <c r="G16">
        <v>76.2</v>
      </c>
      <c r="H16" s="2">
        <v>489204</v>
      </c>
      <c r="I16" s="2">
        <v>16491.64</v>
      </c>
      <c r="J16" t="s">
        <v>70</v>
      </c>
      <c r="K16"/>
      <c r="L16" s="2"/>
      <c r="M16"/>
      <c r="N16" s="2"/>
      <c r="O16" s="2"/>
      <c r="P16" s="2"/>
      <c r="Q16" s="2"/>
      <c r="R16" s="2"/>
      <c r="S16" s="2"/>
    </row>
    <row r="17" spans="1:19" x14ac:dyDescent="0.2">
      <c r="A17" t="s">
        <v>89</v>
      </c>
      <c r="B17" s="2">
        <v>7529</v>
      </c>
      <c r="C17" t="s">
        <v>90</v>
      </c>
      <c r="D17" s="58">
        <v>3.73E-2</v>
      </c>
      <c r="E17" s="25">
        <v>44.373660512684282</v>
      </c>
      <c r="F17" s="2">
        <v>334089.28999999998</v>
      </c>
      <c r="G17">
        <v>93</v>
      </c>
      <c r="H17" s="2">
        <v>700197</v>
      </c>
      <c r="I17" s="2">
        <v>366107.71</v>
      </c>
      <c r="J17" t="s">
        <v>70</v>
      </c>
      <c r="K17"/>
      <c r="L17" s="2"/>
      <c r="M17"/>
      <c r="N17" s="2"/>
      <c r="O17" s="2"/>
      <c r="P17" s="2"/>
      <c r="Q17" s="2"/>
      <c r="R17" s="2"/>
      <c r="S17" s="2"/>
    </row>
    <row r="18" spans="1:19" x14ac:dyDescent="0.2">
      <c r="A18" t="s">
        <v>91</v>
      </c>
      <c r="B18" s="2">
        <v>17770</v>
      </c>
      <c r="C18" t="s">
        <v>92</v>
      </c>
      <c r="D18" s="58">
        <v>2.1999999999999999E-2</v>
      </c>
      <c r="E18" s="25">
        <v>28.502201463140125</v>
      </c>
      <c r="F18" s="2">
        <v>506484.12</v>
      </c>
      <c r="G18">
        <v>23.25</v>
      </c>
      <c r="H18" s="2">
        <v>413152.5</v>
      </c>
      <c r="I18" s="2">
        <v>-93331.62</v>
      </c>
      <c r="J18" t="s">
        <v>70</v>
      </c>
      <c r="K18"/>
      <c r="L18" s="2"/>
      <c r="M18"/>
      <c r="N18" s="2"/>
      <c r="O18" s="2"/>
      <c r="P18" s="2"/>
      <c r="Q18" s="2"/>
      <c r="R18" s="2"/>
      <c r="S18" s="2"/>
    </row>
    <row r="19" spans="1:19" x14ac:dyDescent="0.2">
      <c r="A19" t="s">
        <v>93</v>
      </c>
      <c r="B19" s="2">
        <v>4765</v>
      </c>
      <c r="C19" t="s">
        <v>94</v>
      </c>
      <c r="D19" s="58">
        <v>3.4299999999999997E-2</v>
      </c>
      <c r="E19" s="25">
        <v>37.418285414480586</v>
      </c>
      <c r="F19" s="2">
        <v>178298.13</v>
      </c>
      <c r="G19">
        <v>134.88</v>
      </c>
      <c r="H19" s="2">
        <v>642703.19999999995</v>
      </c>
      <c r="I19" s="2">
        <v>464405.07</v>
      </c>
      <c r="J19" t="s">
        <v>70</v>
      </c>
      <c r="K19"/>
      <c r="L19" s="2"/>
      <c r="M19"/>
      <c r="N19" s="2"/>
      <c r="O19" s="2"/>
      <c r="P19" s="2"/>
      <c r="Q19" s="2"/>
      <c r="R19" s="2"/>
      <c r="S19" s="2"/>
    </row>
    <row r="20" spans="1:19" x14ac:dyDescent="0.2">
      <c r="A20" t="s">
        <v>95</v>
      </c>
      <c r="B20" s="2">
        <v>13860</v>
      </c>
      <c r="C20" t="s">
        <v>96</v>
      </c>
      <c r="D20" s="58">
        <v>1.7000000000000001E-2</v>
      </c>
      <c r="E20" s="25">
        <v>21.333880230880233</v>
      </c>
      <c r="F20" s="2">
        <v>295687.58</v>
      </c>
      <c r="G20">
        <v>23.02</v>
      </c>
      <c r="H20" s="2">
        <v>319057.2</v>
      </c>
      <c r="I20" s="2">
        <v>23369.62</v>
      </c>
      <c r="J20" t="s">
        <v>70</v>
      </c>
      <c r="K20"/>
      <c r="L20" s="2"/>
      <c r="M20"/>
      <c r="N20" s="2"/>
      <c r="O20" s="2"/>
      <c r="P20" s="2"/>
      <c r="Q20" s="2"/>
      <c r="R20" s="2"/>
      <c r="S20" s="2"/>
    </row>
    <row r="21" spans="1:19" x14ac:dyDescent="0.2">
      <c r="A21" t="s">
        <v>97</v>
      </c>
      <c r="B21" s="2">
        <v>7365</v>
      </c>
      <c r="C21" t="s">
        <v>98</v>
      </c>
      <c r="D21" s="58">
        <v>1.6799999999999999E-2</v>
      </c>
      <c r="E21" s="25">
        <v>40.565665987780044</v>
      </c>
      <c r="F21" s="2">
        <v>298766.13</v>
      </c>
      <c r="G21">
        <v>42.54</v>
      </c>
      <c r="H21" s="2">
        <v>313307.09999999998</v>
      </c>
      <c r="I21" s="2">
        <v>14540.97</v>
      </c>
      <c r="J21">
        <v>1841.25</v>
      </c>
      <c r="K21"/>
      <c r="L21" s="2"/>
      <c r="M21"/>
      <c r="N21" s="2"/>
      <c r="O21" s="2"/>
      <c r="P21" s="2"/>
      <c r="Q21" s="2"/>
      <c r="R21" s="2"/>
      <c r="S21" s="2"/>
    </row>
    <row r="22" spans="1:19" x14ac:dyDescent="0.2">
      <c r="A22" t="s">
        <v>99</v>
      </c>
      <c r="B22" s="2">
        <v>5842</v>
      </c>
      <c r="C22" t="s">
        <v>100</v>
      </c>
      <c r="D22" s="58">
        <v>5.1299999999999998E-2</v>
      </c>
      <c r="E22" s="25">
        <v>26.394176651831565</v>
      </c>
      <c r="F22" s="2">
        <v>154194.78</v>
      </c>
      <c r="G22">
        <v>164.84</v>
      </c>
      <c r="H22" s="2">
        <v>962995.28</v>
      </c>
      <c r="I22" s="2">
        <v>808800.5</v>
      </c>
      <c r="J22" t="s">
        <v>70</v>
      </c>
      <c r="K22"/>
      <c r="L22" s="2"/>
      <c r="M22"/>
      <c r="N22" s="2"/>
      <c r="O22" s="2"/>
      <c r="P22" s="2"/>
      <c r="Q22" s="2"/>
      <c r="R22" s="2"/>
      <c r="S22" s="2"/>
    </row>
    <row r="23" spans="1:19" x14ac:dyDescent="0.2">
      <c r="A23" t="s">
        <v>101</v>
      </c>
      <c r="B23" s="2">
        <v>5286</v>
      </c>
      <c r="C23" t="s">
        <v>102</v>
      </c>
      <c r="D23" s="58">
        <v>1.5800000000000002E-2</v>
      </c>
      <c r="E23" s="25">
        <v>30.194735149451379</v>
      </c>
      <c r="F23" s="2">
        <v>159609.37</v>
      </c>
      <c r="G23">
        <v>55.92</v>
      </c>
      <c r="H23" s="2">
        <v>295593.12</v>
      </c>
      <c r="I23" s="2">
        <v>135983.75</v>
      </c>
      <c r="J23" t="s">
        <v>70</v>
      </c>
      <c r="K23"/>
      <c r="L23" s="2"/>
      <c r="M23"/>
      <c r="N23" s="2"/>
      <c r="O23" s="2"/>
      <c r="P23" s="2"/>
      <c r="Q23" s="2"/>
      <c r="R23" s="2"/>
      <c r="S23" s="2"/>
    </row>
    <row r="24" spans="1:19" x14ac:dyDescent="0.2">
      <c r="A24" t="s">
        <v>103</v>
      </c>
      <c r="B24" s="2">
        <v>1530</v>
      </c>
      <c r="C24" t="s">
        <v>104</v>
      </c>
      <c r="D24" s="58">
        <v>1.43E-2</v>
      </c>
      <c r="E24" s="25">
        <v>184.53424183006535</v>
      </c>
      <c r="F24" s="2">
        <v>282337.39</v>
      </c>
      <c r="G24">
        <v>174.89</v>
      </c>
      <c r="H24" s="2">
        <v>267581.7</v>
      </c>
      <c r="I24" s="2">
        <v>-14755.69</v>
      </c>
      <c r="J24" t="s">
        <v>70</v>
      </c>
      <c r="K24"/>
      <c r="L24" s="2"/>
      <c r="M24"/>
      <c r="N24" s="2"/>
      <c r="O24" s="2"/>
      <c r="P24" s="2"/>
      <c r="Q24" s="2"/>
      <c r="R24" s="2"/>
      <c r="S24" s="2"/>
    </row>
    <row r="25" spans="1:19" x14ac:dyDescent="0.2">
      <c r="A25" t="s">
        <v>105</v>
      </c>
      <c r="B25" s="2">
        <v>10860</v>
      </c>
      <c r="C25" t="s">
        <v>106</v>
      </c>
      <c r="D25" s="58">
        <v>1.83E-2</v>
      </c>
      <c r="E25" s="25">
        <v>35.404738489871086</v>
      </c>
      <c r="F25" s="2">
        <v>384495.46</v>
      </c>
      <c r="G25">
        <v>31.57</v>
      </c>
      <c r="H25" s="2">
        <v>342850.2</v>
      </c>
      <c r="I25" s="2">
        <v>-41645.26</v>
      </c>
      <c r="J25" t="s">
        <v>70</v>
      </c>
      <c r="K25"/>
      <c r="L25" s="2"/>
      <c r="M25"/>
      <c r="N25" s="2"/>
      <c r="O25" s="2"/>
      <c r="P25" s="2"/>
      <c r="Q25" s="2"/>
      <c r="R25" s="2"/>
      <c r="S25" s="2"/>
    </row>
    <row r="26" spans="1:19" x14ac:dyDescent="0.2">
      <c r="A26" t="s">
        <v>107</v>
      </c>
      <c r="B26" s="2">
        <v>4666</v>
      </c>
      <c r="C26" t="s">
        <v>108</v>
      </c>
      <c r="D26" s="58">
        <v>2.3E-2</v>
      </c>
      <c r="E26" s="25">
        <v>41.991429489927135</v>
      </c>
      <c r="F26" s="2">
        <v>195932.01</v>
      </c>
      <c r="G26">
        <v>92.36</v>
      </c>
      <c r="H26" s="2">
        <v>430951.76</v>
      </c>
      <c r="I26" s="2">
        <v>235019.75</v>
      </c>
      <c r="J26" t="s">
        <v>70</v>
      </c>
      <c r="K26"/>
      <c r="L26" s="2"/>
      <c r="M26"/>
      <c r="N26" s="2"/>
      <c r="O26" s="2"/>
      <c r="P26" s="2"/>
      <c r="Q26" s="2"/>
      <c r="R26" s="2"/>
      <c r="S26" s="2"/>
    </row>
    <row r="27" spans="1:19" x14ac:dyDescent="0.2">
      <c r="A27" t="s">
        <v>109</v>
      </c>
      <c r="B27" s="2">
        <v>2902</v>
      </c>
      <c r="C27" t="s">
        <v>110</v>
      </c>
      <c r="D27" s="58">
        <v>4.3E-3</v>
      </c>
      <c r="E27" s="25">
        <v>11.464352170916611</v>
      </c>
      <c r="F27" s="2">
        <v>33269.550000000003</v>
      </c>
      <c r="G27">
        <v>27.98</v>
      </c>
      <c r="H27" s="2">
        <v>81197.960000000006</v>
      </c>
      <c r="I27" s="2">
        <v>47928.41</v>
      </c>
      <c r="J27" t="s">
        <v>70</v>
      </c>
      <c r="K27"/>
      <c r="L27" s="2"/>
      <c r="M27"/>
      <c r="N27" s="2"/>
      <c r="O27" s="2"/>
      <c r="P27" s="2"/>
      <c r="Q27" s="2"/>
      <c r="R27" s="2"/>
      <c r="S27" s="2"/>
    </row>
    <row r="28" spans="1:19" x14ac:dyDescent="0.2">
      <c r="A28" t="s">
        <v>111</v>
      </c>
      <c r="B28" s="2">
        <v>6892</v>
      </c>
      <c r="C28" t="s">
        <v>112</v>
      </c>
      <c r="D28" s="58">
        <v>1.03E-2</v>
      </c>
      <c r="E28" s="25">
        <v>17.799029309344167</v>
      </c>
      <c r="F28" s="2">
        <v>122670.91</v>
      </c>
      <c r="G28">
        <v>27.96</v>
      </c>
      <c r="H28" s="2">
        <v>192700.32</v>
      </c>
      <c r="I28" s="2">
        <v>70029.41</v>
      </c>
      <c r="J28" t="s">
        <v>70</v>
      </c>
      <c r="K28"/>
      <c r="L28" s="2"/>
      <c r="M28"/>
      <c r="N28" s="2"/>
      <c r="O28" s="2"/>
      <c r="P28" s="2"/>
      <c r="Q28" s="2"/>
      <c r="R28" s="2"/>
      <c r="S28" s="2"/>
    </row>
    <row r="29" spans="1:19" x14ac:dyDescent="0.2">
      <c r="A29" t="s">
        <v>113</v>
      </c>
      <c r="B29" s="2">
        <v>8324</v>
      </c>
      <c r="C29" t="s">
        <v>114</v>
      </c>
      <c r="D29" s="58">
        <v>4.6899999999999997E-2</v>
      </c>
      <c r="E29" s="25">
        <v>46.219012493993269</v>
      </c>
      <c r="F29" s="2">
        <v>384727.06</v>
      </c>
      <c r="G29">
        <v>104.91</v>
      </c>
      <c r="H29" s="2">
        <v>873270.84</v>
      </c>
      <c r="I29" s="2">
        <v>488543.78</v>
      </c>
      <c r="J29">
        <v>6243</v>
      </c>
      <c r="K29"/>
      <c r="L29" s="2"/>
      <c r="M29"/>
      <c r="N29" s="2"/>
      <c r="O29" s="2"/>
      <c r="P29" s="2"/>
      <c r="Q29" s="2"/>
      <c r="R29" s="2"/>
      <c r="S29" s="2"/>
    </row>
    <row r="30" spans="1:19" x14ac:dyDescent="0.2">
      <c r="A30" t="s">
        <v>115</v>
      </c>
      <c r="B30">
        <v>380</v>
      </c>
      <c r="C30" t="s">
        <v>116</v>
      </c>
      <c r="D30" s="58">
        <v>2.6599999999999999E-2</v>
      </c>
      <c r="E30" s="25">
        <v>618.26639473684213</v>
      </c>
      <c r="F30" s="2">
        <v>234941.23</v>
      </c>
      <c r="G30" s="2">
        <v>1314.73</v>
      </c>
      <c r="H30" s="2">
        <v>499597.4</v>
      </c>
      <c r="I30" s="2">
        <v>264656.17</v>
      </c>
      <c r="J30" t="s">
        <v>70</v>
      </c>
      <c r="K30"/>
      <c r="L30" s="2"/>
      <c r="M30"/>
      <c r="N30" s="2"/>
      <c r="O30" s="2"/>
      <c r="P30" s="2"/>
      <c r="Q30" s="2"/>
      <c r="R30" s="2"/>
      <c r="S30" s="2"/>
    </row>
    <row r="31" spans="1:19" x14ac:dyDescent="0.2">
      <c r="A31" t="s">
        <v>117</v>
      </c>
      <c r="B31" s="2">
        <v>11453</v>
      </c>
      <c r="C31" t="s">
        <v>118</v>
      </c>
      <c r="D31" s="58">
        <v>6.1899999999999997E-2</v>
      </c>
      <c r="E31" s="25">
        <v>20.497039203702087</v>
      </c>
      <c r="F31" s="2">
        <v>234752.59</v>
      </c>
      <c r="G31">
        <v>101.36</v>
      </c>
      <c r="H31" s="2">
        <v>1160876.08</v>
      </c>
      <c r="I31" s="2">
        <v>926123.49</v>
      </c>
      <c r="J31" t="s">
        <v>70</v>
      </c>
      <c r="K31"/>
      <c r="L31" s="2"/>
      <c r="M31"/>
      <c r="N31" s="2"/>
      <c r="O31" s="2"/>
      <c r="P31" s="2"/>
      <c r="Q31" s="2"/>
      <c r="R31" s="2"/>
      <c r="S31" s="2"/>
    </row>
    <row r="32" spans="1:19" x14ac:dyDescent="0.2">
      <c r="A32" t="s">
        <v>119</v>
      </c>
      <c r="B32" s="2">
        <v>1135</v>
      </c>
      <c r="C32" t="s">
        <v>120</v>
      </c>
      <c r="D32" s="58">
        <v>1.21E-2</v>
      </c>
      <c r="E32" s="25">
        <v>226.69259911894272</v>
      </c>
      <c r="F32" s="2">
        <v>257296.1</v>
      </c>
      <c r="G32">
        <v>199.44</v>
      </c>
      <c r="H32" s="2">
        <v>226364.4</v>
      </c>
      <c r="I32" s="2">
        <v>-30931.7</v>
      </c>
      <c r="J32">
        <v>1418.75</v>
      </c>
      <c r="K32"/>
      <c r="L32" s="2"/>
      <c r="M32"/>
      <c r="N32" s="2"/>
      <c r="O32" s="2"/>
      <c r="P32" s="2"/>
      <c r="Q32" s="2"/>
      <c r="R32" s="2"/>
      <c r="S32" s="2"/>
    </row>
    <row r="33" spans="1:19" x14ac:dyDescent="0.2">
      <c r="A33" t="s">
        <v>121</v>
      </c>
      <c r="B33" s="2">
        <v>4635</v>
      </c>
      <c r="C33" t="s">
        <v>122</v>
      </c>
      <c r="D33" s="58">
        <v>3.5000000000000003E-2</v>
      </c>
      <c r="E33" s="25">
        <v>81.653434735706583</v>
      </c>
      <c r="F33" s="2">
        <v>378463.67</v>
      </c>
      <c r="G33">
        <v>141.63</v>
      </c>
      <c r="H33" s="2">
        <v>656455.05000000005</v>
      </c>
      <c r="I33" s="2">
        <v>277991.38</v>
      </c>
      <c r="J33" t="s">
        <v>70</v>
      </c>
      <c r="K33"/>
      <c r="L33" s="2"/>
      <c r="M33"/>
      <c r="N33"/>
      <c r="O33" s="2"/>
      <c r="P33" s="2"/>
      <c r="Q33" s="2"/>
      <c r="R33" s="2"/>
      <c r="S33" s="2"/>
    </row>
    <row r="34" spans="1:19" x14ac:dyDescent="0.2">
      <c r="A34" t="s">
        <v>123</v>
      </c>
      <c r="B34" s="2">
        <v>15286</v>
      </c>
      <c r="C34" t="s">
        <v>124</v>
      </c>
      <c r="D34" s="58">
        <v>1.7000000000000001E-2</v>
      </c>
      <c r="E34" s="25">
        <v>11.161455580269529</v>
      </c>
      <c r="F34" s="2">
        <v>170614.01</v>
      </c>
      <c r="G34">
        <v>20.87</v>
      </c>
      <c r="H34" s="2">
        <v>319018.82</v>
      </c>
      <c r="I34" s="2">
        <v>148404.81</v>
      </c>
      <c r="J34" t="s">
        <v>70</v>
      </c>
      <c r="K34"/>
      <c r="L34" s="2"/>
      <c r="M34"/>
      <c r="N34" s="2"/>
      <c r="O34" s="2"/>
      <c r="P34" s="2"/>
      <c r="Q34" s="2"/>
      <c r="R34" s="2"/>
      <c r="S34" s="2"/>
    </row>
    <row r="35" spans="1:19" x14ac:dyDescent="0.2">
      <c r="A35" t="s">
        <v>125</v>
      </c>
      <c r="B35" s="2">
        <v>7247</v>
      </c>
      <c r="C35" t="s">
        <v>126</v>
      </c>
      <c r="D35" s="58">
        <v>2.1299999999999999E-2</v>
      </c>
      <c r="E35" s="25">
        <v>52.347178142679731</v>
      </c>
      <c r="F35" s="2">
        <v>379360</v>
      </c>
      <c r="G35">
        <v>54.96</v>
      </c>
      <c r="H35" s="2">
        <v>398295.12</v>
      </c>
      <c r="I35" s="2">
        <v>18935.12</v>
      </c>
      <c r="J35">
        <v>1449.4</v>
      </c>
      <c r="K35"/>
      <c r="L35" s="2"/>
      <c r="M35"/>
      <c r="N35"/>
      <c r="O35" s="2"/>
      <c r="P35" s="2"/>
      <c r="Q35" s="2"/>
      <c r="R35" s="2"/>
      <c r="S35" s="2"/>
    </row>
    <row r="36" spans="1:19" x14ac:dyDescent="0.2">
      <c r="A36" t="s">
        <v>127</v>
      </c>
      <c r="B36" s="2">
        <v>20000</v>
      </c>
      <c r="C36" t="s">
        <v>128</v>
      </c>
      <c r="D36" s="58">
        <v>4.3099999999999999E-2</v>
      </c>
      <c r="E36" s="25">
        <v>29.274812000000001</v>
      </c>
      <c r="F36" s="2">
        <v>585496.24</v>
      </c>
      <c r="G36">
        <v>40.409999999999997</v>
      </c>
      <c r="H36" s="2">
        <v>808200</v>
      </c>
      <c r="I36" s="2">
        <v>222703.76</v>
      </c>
      <c r="J36" t="s">
        <v>70</v>
      </c>
      <c r="K36"/>
      <c r="L36" s="2"/>
      <c r="M36"/>
      <c r="N36" s="2"/>
      <c r="O36" s="2"/>
      <c r="P36" s="2"/>
      <c r="Q36" s="2"/>
      <c r="R36" s="2"/>
      <c r="S36" s="2"/>
    </row>
    <row r="37" spans="1:19" x14ac:dyDescent="0.2">
      <c r="A37" t="s">
        <v>129</v>
      </c>
      <c r="B37" s="2">
        <v>6546</v>
      </c>
      <c r="C37" t="s">
        <v>130</v>
      </c>
      <c r="D37" s="58">
        <v>2.3199999999999998E-2</v>
      </c>
      <c r="E37" s="25">
        <v>54.036344332416739</v>
      </c>
      <c r="F37" s="2">
        <v>353721.91</v>
      </c>
      <c r="G37">
        <v>66.53</v>
      </c>
      <c r="H37" s="2">
        <v>435505.38</v>
      </c>
      <c r="I37" s="2">
        <v>81783.47</v>
      </c>
      <c r="J37" t="s">
        <v>70</v>
      </c>
      <c r="K37"/>
      <c r="L37" s="2"/>
      <c r="M37"/>
      <c r="N37"/>
      <c r="O37" s="2"/>
      <c r="P37" s="2"/>
      <c r="Q37" s="2"/>
      <c r="R37" s="2"/>
      <c r="S37" s="2"/>
    </row>
    <row r="38" spans="1:19" x14ac:dyDescent="0.2">
      <c r="A38" t="s">
        <v>131</v>
      </c>
      <c r="B38" s="2">
        <v>15137</v>
      </c>
      <c r="C38" t="s">
        <v>132</v>
      </c>
      <c r="D38" s="58">
        <v>1.9E-2</v>
      </c>
      <c r="E38" s="25">
        <v>15.688988571051066</v>
      </c>
      <c r="F38" s="2">
        <v>237484.22</v>
      </c>
      <c r="G38">
        <v>23.51</v>
      </c>
      <c r="H38" s="2">
        <v>355870.87</v>
      </c>
      <c r="I38" s="2">
        <v>118386.65</v>
      </c>
      <c r="J38">
        <v>756.85</v>
      </c>
      <c r="K38"/>
      <c r="L38" s="2"/>
      <c r="M38"/>
      <c r="N38"/>
      <c r="O38"/>
      <c r="P38" s="2"/>
      <c r="Q38" s="2"/>
      <c r="R38" s="2"/>
      <c r="S38" s="2"/>
    </row>
    <row r="39" spans="1:19" x14ac:dyDescent="0.2">
      <c r="A39" t="s">
        <v>133</v>
      </c>
      <c r="B39" s="2">
        <v>3857</v>
      </c>
      <c r="C39" t="s">
        <v>134</v>
      </c>
      <c r="D39" s="58">
        <v>2.75E-2</v>
      </c>
      <c r="E39" s="25">
        <v>74.644301270417429</v>
      </c>
      <c r="F39" s="2">
        <v>287903.07</v>
      </c>
      <c r="G39">
        <v>133.58000000000001</v>
      </c>
      <c r="H39" s="2">
        <v>515218.06</v>
      </c>
      <c r="I39" s="2">
        <v>227314.99</v>
      </c>
      <c r="J39" t="s">
        <v>70</v>
      </c>
      <c r="K39"/>
      <c r="L39" s="2"/>
      <c r="M39"/>
      <c r="N39"/>
      <c r="O39" s="2"/>
      <c r="P39" s="2"/>
      <c r="Q39" s="2"/>
      <c r="R39" s="2"/>
      <c r="S39" s="2"/>
    </row>
    <row r="40" spans="1:19" x14ac:dyDescent="0.2">
      <c r="A40" t="s">
        <v>135</v>
      </c>
      <c r="B40" s="2">
        <v>18310</v>
      </c>
      <c r="C40" t="s">
        <v>136</v>
      </c>
      <c r="D40" s="58">
        <v>2.3400000000000001E-2</v>
      </c>
      <c r="E40" s="25">
        <v>16.450043145821954</v>
      </c>
      <c r="F40" s="2">
        <v>301200.28999999998</v>
      </c>
      <c r="G40">
        <v>23.97</v>
      </c>
      <c r="H40" s="2">
        <v>438890.7</v>
      </c>
      <c r="I40" s="2">
        <v>137690.41</v>
      </c>
      <c r="J40" t="s">
        <v>70</v>
      </c>
      <c r="K40"/>
      <c r="L40" s="2"/>
      <c r="M40"/>
      <c r="N40" s="2"/>
      <c r="O40"/>
      <c r="P40" s="2"/>
      <c r="Q40" s="2"/>
      <c r="R40" s="2"/>
      <c r="S40" s="2"/>
    </row>
    <row r="41" spans="1:19" x14ac:dyDescent="0.2">
      <c r="A41" t="s">
        <v>137</v>
      </c>
      <c r="B41" s="2">
        <v>6816</v>
      </c>
      <c r="C41" t="s">
        <v>138</v>
      </c>
      <c r="D41" s="58">
        <v>2.47E-2</v>
      </c>
      <c r="E41" s="25">
        <v>31.553202758215964</v>
      </c>
      <c r="F41" s="2">
        <v>215066.63</v>
      </c>
      <c r="G41">
        <v>67.8</v>
      </c>
      <c r="H41" s="2">
        <v>462124.79999999999</v>
      </c>
      <c r="I41" s="2">
        <v>247058.17</v>
      </c>
      <c r="J41">
        <v>1363.2</v>
      </c>
      <c r="K41"/>
      <c r="L41" s="2"/>
      <c r="M41"/>
      <c r="N41"/>
      <c r="O41" s="2"/>
      <c r="P41" s="2"/>
      <c r="Q41" s="2"/>
      <c r="R41" s="2"/>
      <c r="S41" s="2"/>
    </row>
    <row r="42" spans="1:19" x14ac:dyDescent="0.2">
      <c r="A42" t="s">
        <v>139</v>
      </c>
      <c r="B42" s="2">
        <v>1925</v>
      </c>
      <c r="C42" t="s">
        <v>140</v>
      </c>
      <c r="D42" s="58">
        <v>8.9999999999999993E-3</v>
      </c>
      <c r="E42" s="25">
        <v>91.134301298701303</v>
      </c>
      <c r="F42" s="2">
        <v>175433.53</v>
      </c>
      <c r="G42">
        <v>87.96</v>
      </c>
      <c r="H42" s="2">
        <v>169323</v>
      </c>
      <c r="I42" s="2">
        <v>-6110.53</v>
      </c>
      <c r="J42" t="s">
        <v>70</v>
      </c>
      <c r="K42"/>
      <c r="L42" s="2"/>
      <c r="M42"/>
      <c r="N42"/>
      <c r="O42"/>
      <c r="P42" s="2"/>
      <c r="Q42"/>
      <c r="R42" s="2"/>
      <c r="S42" s="2"/>
    </row>
    <row r="43" spans="1:19" x14ac:dyDescent="0.2">
      <c r="A43"/>
      <c r="B43"/>
      <c r="C43"/>
      <c r="D43" s="58"/>
      <c r="E43"/>
      <c r="F43" s="2"/>
      <c r="G43"/>
      <c r="H43" s="2"/>
      <c r="I43"/>
      <c r="J43"/>
      <c r="K43"/>
      <c r="L43" s="2"/>
      <c r="M43"/>
      <c r="N43"/>
      <c r="O43"/>
      <c r="P43" s="2"/>
      <c r="Q43"/>
      <c r="R43" s="2"/>
      <c r="S43" s="2"/>
    </row>
    <row r="44" spans="1:19" x14ac:dyDescent="0.2">
      <c r="A44" t="s">
        <v>141</v>
      </c>
      <c r="B44" t="s">
        <v>70</v>
      </c>
      <c r="C44" t="s">
        <v>142</v>
      </c>
      <c r="D44" s="58">
        <v>4.2700000000000002E-2</v>
      </c>
      <c r="E44"/>
      <c r="F44" s="2">
        <v>800055.73</v>
      </c>
      <c r="G44" t="s">
        <v>70</v>
      </c>
      <c r="H44" s="2">
        <v>800055.73</v>
      </c>
      <c r="I44">
        <v>0</v>
      </c>
      <c r="J44" t="s">
        <v>70</v>
      </c>
      <c r="K44"/>
      <c r="L44" s="2"/>
      <c r="M44"/>
      <c r="N44"/>
      <c r="O44"/>
      <c r="P44" s="2"/>
      <c r="Q44"/>
      <c r="R44" s="2"/>
      <c r="S44" s="2"/>
    </row>
    <row r="45" spans="1:19" x14ac:dyDescent="0.2">
      <c r="A45"/>
      <c r="B45"/>
      <c r="C45"/>
      <c r="D45" s="58"/>
      <c r="E45"/>
      <c r="F45" s="2"/>
      <c r="G45"/>
      <c r="H45" s="2"/>
      <c r="I45" s="2"/>
      <c r="J45"/>
      <c r="K45"/>
      <c r="L45" s="2"/>
      <c r="M45"/>
      <c r="N45"/>
      <c r="O45"/>
      <c r="P45" s="2"/>
      <c r="Q45" s="2"/>
      <c r="R45" s="2"/>
      <c r="S45" s="2"/>
    </row>
    <row r="46" spans="1:19" x14ac:dyDescent="0.2">
      <c r="A46" t="s">
        <v>70</v>
      </c>
      <c r="B46" t="s">
        <v>70</v>
      </c>
      <c r="C46" t="s">
        <v>143</v>
      </c>
      <c r="D46" s="58">
        <v>1</v>
      </c>
      <c r="E46"/>
      <c r="F46" s="2">
        <v>11396332.810000001</v>
      </c>
      <c r="G46" t="s">
        <v>70</v>
      </c>
      <c r="H46" s="2">
        <v>18754445.93</v>
      </c>
      <c r="I46" s="2">
        <v>7343210.0899999999</v>
      </c>
      <c r="J46" t="s">
        <v>70</v>
      </c>
      <c r="K46"/>
      <c r="L46" s="2"/>
      <c r="M46"/>
      <c r="N46"/>
      <c r="O46"/>
      <c r="P46" s="2"/>
      <c r="Q46" s="2"/>
      <c r="R46" s="2"/>
      <c r="S46" s="2"/>
    </row>
    <row r="47" spans="1:19" x14ac:dyDescent="0.2">
      <c r="A47"/>
      <c r="B47"/>
      <c r="C47"/>
      <c r="D47" s="58"/>
      <c r="E47"/>
      <c r="F47" s="2"/>
      <c r="G47"/>
      <c r="H47" s="2"/>
      <c r="I47" s="2"/>
      <c r="J47"/>
      <c r="K47"/>
      <c r="L47"/>
      <c r="M47"/>
      <c r="N47"/>
      <c r="O47"/>
      <c r="P47" s="2"/>
      <c r="Q47"/>
      <c r="R47" s="2"/>
      <c r="S47"/>
    </row>
    <row r="48" spans="1:19" x14ac:dyDescent="0.2">
      <c r="A48" t="s">
        <v>70</v>
      </c>
      <c r="B48" t="s">
        <v>70</v>
      </c>
      <c r="C48" t="s">
        <v>41</v>
      </c>
      <c r="D48" s="58">
        <v>1</v>
      </c>
      <c r="E48"/>
      <c r="F48" s="2">
        <v>11396332.810000001</v>
      </c>
      <c r="G48" t="s">
        <v>70</v>
      </c>
      <c r="H48" s="2">
        <v>18754445.93</v>
      </c>
      <c r="I48" s="2">
        <v>7343210.0899999999</v>
      </c>
      <c r="J48" t="s">
        <v>70</v>
      </c>
      <c r="K48"/>
      <c r="L48"/>
      <c r="M48"/>
      <c r="N48"/>
      <c r="O48"/>
      <c r="P48" s="2"/>
      <c r="Q48"/>
      <c r="R48" s="2"/>
      <c r="S48"/>
    </row>
    <row r="49" spans="1:19" x14ac:dyDescent="0.2">
      <c r="A49"/>
      <c r="B49"/>
      <c r="C49"/>
      <c r="D49" s="58"/>
      <c r="E49"/>
      <c r="F49" s="2"/>
      <c r="G49"/>
      <c r="H49" s="2"/>
      <c r="I49" s="2"/>
      <c r="J49"/>
      <c r="K49"/>
      <c r="L49"/>
      <c r="M49"/>
      <c r="N49"/>
      <c r="O49"/>
      <c r="P49" s="2"/>
      <c r="Q49"/>
      <c r="R49" s="2"/>
      <c r="S49"/>
    </row>
    <row r="50" spans="1:19" x14ac:dyDescent="0.2">
      <c r="A50"/>
      <c r="B50"/>
      <c r="C50"/>
      <c r="D50" s="58"/>
      <c r="E50" s="25"/>
      <c r="F50" s="2"/>
      <c r="G50"/>
      <c r="H50" s="2"/>
      <c r="I50" s="2"/>
      <c r="J50"/>
      <c r="K50"/>
      <c r="L50"/>
      <c r="M50"/>
      <c r="N50"/>
      <c r="O50"/>
      <c r="P50"/>
      <c r="Q50"/>
      <c r="R50" s="2"/>
      <c r="S50" s="2"/>
    </row>
    <row r="51" spans="1:19" x14ac:dyDescent="0.2">
      <c r="A51"/>
      <c r="B51"/>
      <c r="C51"/>
      <c r="D51" s="58"/>
      <c r="E51" s="25"/>
      <c r="F51" s="2"/>
      <c r="G51"/>
      <c r="H51" s="2"/>
      <c r="I51" s="2"/>
      <c r="J51"/>
      <c r="K51"/>
      <c r="L51"/>
      <c r="M51"/>
      <c r="N51"/>
      <c r="O51"/>
      <c r="P51"/>
      <c r="Q51"/>
      <c r="R51"/>
      <c r="S51"/>
    </row>
    <row r="52" spans="1:19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 s="2"/>
      <c r="Q52"/>
      <c r="R52" s="2"/>
      <c r="S52" s="2"/>
    </row>
    <row r="53" spans="1:19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9" x14ac:dyDescent="0.2">
      <c r="A56"/>
      <c r="B56"/>
      <c r="C56"/>
      <c r="D56"/>
      <c r="E56"/>
      <c r="F56"/>
      <c r="G56"/>
      <c r="H56"/>
      <c r="I56"/>
      <c r="J56"/>
      <c r="K56"/>
      <c r="L56"/>
    </row>
    <row r="57" spans="1:19" x14ac:dyDescent="0.2">
      <c r="A57"/>
      <c r="B57"/>
      <c r="C57"/>
      <c r="D57"/>
      <c r="E57"/>
      <c r="F57"/>
      <c r="G57"/>
      <c r="H57"/>
      <c r="I57"/>
      <c r="J57"/>
      <c r="K57"/>
      <c r="L57"/>
    </row>
    <row r="58" spans="1:19" x14ac:dyDescent="0.2">
      <c r="A58"/>
      <c r="B58"/>
      <c r="C58"/>
      <c r="D58"/>
      <c r="E58"/>
      <c r="F58"/>
      <c r="G58"/>
      <c r="H58"/>
      <c r="I58"/>
      <c r="J58"/>
      <c r="K58"/>
    </row>
    <row r="59" spans="1:19" x14ac:dyDescent="0.2">
      <c r="A59"/>
      <c r="B59"/>
      <c r="C59"/>
      <c r="D59"/>
      <c r="E59"/>
      <c r="F59"/>
      <c r="G59"/>
      <c r="H59"/>
      <c r="I59"/>
      <c r="J59"/>
      <c r="K59"/>
    </row>
    <row r="60" spans="1:19" x14ac:dyDescent="0.2">
      <c r="A60"/>
      <c r="B60"/>
      <c r="C60"/>
      <c r="D60"/>
      <c r="E60"/>
      <c r="F60"/>
      <c r="G60"/>
      <c r="H60"/>
      <c r="I60"/>
      <c r="J60"/>
      <c r="K60"/>
    </row>
  </sheetData>
  <phoneticPr fontId="5" type="noConversion"/>
  <pageMargins left="0.25" right="0.25" top="0.5" bottom="0.5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9"/>
  <sheetViews>
    <sheetView workbookViewId="0">
      <selection activeCell="A19" sqref="A19"/>
    </sheetView>
  </sheetViews>
  <sheetFormatPr defaultRowHeight="12.75" x14ac:dyDescent="0.2"/>
  <cols>
    <col min="1" max="1" width="18.7109375" customWidth="1"/>
    <col min="2" max="2" width="11.85546875" customWidth="1"/>
    <col min="3" max="3" width="9.85546875" customWidth="1"/>
    <col min="4" max="4" width="11.42578125" customWidth="1"/>
    <col min="5" max="6" width="12" customWidth="1"/>
    <col min="7" max="7" width="13" customWidth="1"/>
    <col min="8" max="8" width="16.42578125" customWidth="1"/>
  </cols>
  <sheetData>
    <row r="2" spans="1:9" x14ac:dyDescent="0.2">
      <c r="B2" s="3" t="s">
        <v>12</v>
      </c>
    </row>
    <row r="3" spans="1:9" x14ac:dyDescent="0.2">
      <c r="A3" s="32" t="s">
        <v>58</v>
      </c>
      <c r="B3" s="41">
        <v>45077</v>
      </c>
      <c r="E3" s="4" t="s">
        <v>52</v>
      </c>
    </row>
    <row r="4" spans="1:9" x14ac:dyDescent="0.2">
      <c r="B4" s="5" t="s">
        <v>33</v>
      </c>
      <c r="C4" s="5" t="s">
        <v>15</v>
      </c>
      <c r="D4" s="5" t="s">
        <v>16</v>
      </c>
      <c r="E4" s="29" t="s">
        <v>17</v>
      </c>
      <c r="F4" s="5" t="s">
        <v>18</v>
      </c>
      <c r="G4" s="5" t="s">
        <v>19</v>
      </c>
      <c r="H4" s="5" t="s">
        <v>20</v>
      </c>
    </row>
    <row r="5" spans="1:9" x14ac:dyDescent="0.2">
      <c r="A5" t="s">
        <v>13</v>
      </c>
      <c r="B5" s="28">
        <v>-2.2000000000000002</v>
      </c>
      <c r="C5" s="25"/>
      <c r="D5" s="28">
        <v>1.82</v>
      </c>
      <c r="E5" s="28">
        <v>-0.04</v>
      </c>
      <c r="F5" s="28">
        <v>15.87</v>
      </c>
      <c r="G5" s="28">
        <v>5.72</v>
      </c>
      <c r="H5" s="28">
        <v>279.45</v>
      </c>
      <c r="I5" s="24"/>
    </row>
    <row r="6" spans="1:9" x14ac:dyDescent="0.2">
      <c r="A6" t="s">
        <v>14</v>
      </c>
      <c r="B6" s="26">
        <v>-2.2000000000000002</v>
      </c>
      <c r="D6" s="26">
        <v>1.48</v>
      </c>
      <c r="E6" s="28">
        <v>-0.42</v>
      </c>
      <c r="F6" s="28">
        <v>15.48</v>
      </c>
      <c r="G6" s="28">
        <v>5.39</v>
      </c>
      <c r="H6" s="28">
        <v>257.93</v>
      </c>
      <c r="I6" s="24"/>
    </row>
    <row r="7" spans="1:9" x14ac:dyDescent="0.2">
      <c r="A7" t="s">
        <v>61</v>
      </c>
      <c r="B7" s="28">
        <v>-1.75</v>
      </c>
      <c r="D7" s="28">
        <v>-5.31</v>
      </c>
      <c r="E7" s="28">
        <v>-8.52</v>
      </c>
      <c r="F7" s="28">
        <v>10.33</v>
      </c>
      <c r="G7" s="28">
        <v>4.9800000000000004</v>
      </c>
      <c r="H7" s="28">
        <v>240.29</v>
      </c>
      <c r="I7" s="24"/>
    </row>
    <row r="9" spans="1:9" x14ac:dyDescent="0.2">
      <c r="A9" t="s">
        <v>21</v>
      </c>
    </row>
  </sheetData>
  <phoneticPr fontId="5" type="noConversion"/>
  <pageMargins left="0.25" right="0.25" top="0.5" bottom="0.5" header="0.5" footer="0.5"/>
  <pageSetup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F21"/>
  <sheetViews>
    <sheetView workbookViewId="0">
      <selection activeCell="F11" sqref="F11"/>
    </sheetView>
  </sheetViews>
  <sheetFormatPr defaultRowHeight="12.75" x14ac:dyDescent="0.2"/>
  <cols>
    <col min="1" max="1" width="35.85546875" customWidth="1"/>
    <col min="2" max="2" width="15.5703125" customWidth="1"/>
    <col min="3" max="3" width="13.140625" customWidth="1"/>
    <col min="4" max="4" width="12" style="25" customWidth="1"/>
    <col min="5" max="5" width="2" style="25" customWidth="1"/>
    <col min="6" max="6" width="12.5703125" customWidth="1"/>
  </cols>
  <sheetData>
    <row r="2" spans="1:6" x14ac:dyDescent="0.2">
      <c r="B2" t="s">
        <v>32</v>
      </c>
    </row>
    <row r="4" spans="1:6" x14ac:dyDescent="0.2">
      <c r="A4" t="s">
        <v>51</v>
      </c>
      <c r="D4" s="57">
        <v>45047</v>
      </c>
      <c r="E4" s="40"/>
      <c r="F4" s="57">
        <v>45077</v>
      </c>
    </row>
    <row r="5" spans="1:6" x14ac:dyDescent="0.2">
      <c r="C5" s="4" t="s">
        <v>22</v>
      </c>
      <c r="D5" s="26"/>
      <c r="E5" s="26"/>
      <c r="F5" s="4" t="s">
        <v>23</v>
      </c>
    </row>
    <row r="6" spans="1:6" x14ac:dyDescent="0.2">
      <c r="A6" t="s">
        <v>5</v>
      </c>
      <c r="B6" t="s">
        <v>27</v>
      </c>
      <c r="C6" s="4" t="s">
        <v>24</v>
      </c>
      <c r="D6" s="26" t="s">
        <v>4</v>
      </c>
      <c r="E6" s="26"/>
      <c r="F6" s="4" t="s">
        <v>25</v>
      </c>
    </row>
    <row r="7" spans="1:6" x14ac:dyDescent="0.2">
      <c r="A7" s="49"/>
      <c r="B7" s="49"/>
      <c r="C7" s="49"/>
      <c r="D7" s="50"/>
      <c r="E7" s="50"/>
      <c r="F7" s="5"/>
    </row>
    <row r="8" spans="1:6" x14ac:dyDescent="0.2">
      <c r="C8" s="1"/>
      <c r="F8" s="2"/>
    </row>
    <row r="9" spans="1:6" x14ac:dyDescent="0.2">
      <c r="A9" t="str">
        <f>"Alight Inc"</f>
        <v>Alight Inc</v>
      </c>
      <c r="B9" t="str">
        <f>"Buy"</f>
        <v>Buy</v>
      </c>
      <c r="C9" s="1">
        <v>45055</v>
      </c>
      <c r="D9" s="2">
        <v>11185</v>
      </c>
      <c r="F9" s="2">
        <v>-94755.96</v>
      </c>
    </row>
    <row r="10" spans="1:6" x14ac:dyDescent="0.2">
      <c r="A10" t="str">
        <f>"Alphabet Inc"</f>
        <v>Alphabet Inc</v>
      </c>
      <c r="B10" t="s">
        <v>144</v>
      </c>
      <c r="C10" s="1">
        <v>45070</v>
      </c>
      <c r="D10" s="2">
        <v>1080</v>
      </c>
      <c r="F10" s="2">
        <v>130741.7</v>
      </c>
    </row>
    <row r="11" spans="1:6" x14ac:dyDescent="0.2">
      <c r="A11" s="51"/>
      <c r="C11" s="38"/>
      <c r="D11" s="39"/>
      <c r="E11" s="39"/>
      <c r="F11" s="39"/>
    </row>
    <row r="12" spans="1:6" x14ac:dyDescent="0.2">
      <c r="A12" t="s">
        <v>26</v>
      </c>
      <c r="C12" s="1"/>
      <c r="D12" s="2"/>
      <c r="E12" s="2"/>
      <c r="F12" s="2">
        <f>SUM(F8:F11)</f>
        <v>35985.739999999991</v>
      </c>
    </row>
    <row r="15" spans="1:6" x14ac:dyDescent="0.2">
      <c r="B15" s="24"/>
    </row>
    <row r="20" spans="4:4" x14ac:dyDescent="0.2">
      <c r="D20"/>
    </row>
    <row r="21" spans="4:4" x14ac:dyDescent="0.2">
      <c r="D21"/>
    </row>
  </sheetData>
  <sortState xmlns:xlrd2="http://schemas.microsoft.com/office/spreadsheetml/2017/richdata2" ref="A9:F10">
    <sortCondition ref="C9:C10"/>
  </sortState>
  <phoneticPr fontId="5" type="noConversion"/>
  <pageMargins left="0.25" right="0.2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F11"/>
  <sheetViews>
    <sheetView workbookViewId="0">
      <selection activeCell="C31" sqref="C31"/>
    </sheetView>
  </sheetViews>
  <sheetFormatPr defaultRowHeight="12.75" x14ac:dyDescent="0.2"/>
  <cols>
    <col min="1" max="1" width="23.28515625" customWidth="1"/>
    <col min="2" max="2" width="14.42578125" customWidth="1"/>
    <col min="3" max="3" width="14.7109375" customWidth="1"/>
    <col min="4" max="4" width="13.5703125" customWidth="1"/>
    <col min="5" max="5" width="2.140625" customWidth="1"/>
    <col min="6" max="6" width="15.140625" bestFit="1" customWidth="1"/>
  </cols>
  <sheetData>
    <row r="2" spans="1:6" x14ac:dyDescent="0.2">
      <c r="B2" t="s">
        <v>34</v>
      </c>
    </row>
    <row r="4" spans="1:6" x14ac:dyDescent="0.2">
      <c r="A4" t="s">
        <v>51</v>
      </c>
      <c r="D4" s="43">
        <f>+Transactions!D4</f>
        <v>45047</v>
      </c>
      <c r="E4" s="6"/>
      <c r="F4" s="43">
        <f>+Transactions!F4</f>
        <v>45077</v>
      </c>
    </row>
    <row r="5" spans="1:6" x14ac:dyDescent="0.2">
      <c r="C5" s="4" t="s">
        <v>22</v>
      </c>
      <c r="F5" s="4" t="s">
        <v>23</v>
      </c>
    </row>
    <row r="6" spans="1:6" x14ac:dyDescent="0.2">
      <c r="A6" t="s">
        <v>5</v>
      </c>
      <c r="B6" t="s">
        <v>27</v>
      </c>
      <c r="C6" s="4" t="s">
        <v>24</v>
      </c>
      <c r="D6" s="4" t="s">
        <v>4</v>
      </c>
      <c r="E6" s="4"/>
      <c r="F6" s="4" t="s">
        <v>25</v>
      </c>
    </row>
    <row r="7" spans="1:6" x14ac:dyDescent="0.2">
      <c r="A7" t="s">
        <v>28</v>
      </c>
      <c r="B7" t="s">
        <v>29</v>
      </c>
      <c r="C7" s="4" t="s">
        <v>30</v>
      </c>
      <c r="D7" t="s">
        <v>10</v>
      </c>
      <c r="F7" s="4" t="s">
        <v>11</v>
      </c>
    </row>
    <row r="9" spans="1:6" s="27" customFormat="1" x14ac:dyDescent="0.2">
      <c r="A9" s="3" t="s">
        <v>62</v>
      </c>
      <c r="B9" s="24"/>
      <c r="C9" s="30"/>
      <c r="D9" s="31"/>
      <c r="E9" s="31"/>
      <c r="F9" s="31"/>
    </row>
    <row r="10" spans="1:6" x14ac:dyDescent="0.2">
      <c r="A10" t="s">
        <v>28</v>
      </c>
      <c r="B10" t="s">
        <v>31</v>
      </c>
      <c r="F10" s="4" t="s">
        <v>10</v>
      </c>
    </row>
    <row r="11" spans="1:6" x14ac:dyDescent="0.2">
      <c r="A11" t="s">
        <v>26</v>
      </c>
      <c r="F11" s="2">
        <f>SUM(F9:F10)</f>
        <v>0</v>
      </c>
    </row>
  </sheetData>
  <phoneticPr fontId="5" type="noConversion"/>
  <pageMargins left="0.25" right="0.2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1"/>
  <sheetViews>
    <sheetView workbookViewId="0">
      <selection activeCell="A26" sqref="A26"/>
    </sheetView>
  </sheetViews>
  <sheetFormatPr defaultRowHeight="12.75" x14ac:dyDescent="0.2"/>
  <cols>
    <col min="1" max="1" width="23.28515625" customWidth="1"/>
    <col min="2" max="2" width="17.7109375" customWidth="1"/>
    <col min="3" max="3" width="27.7109375" customWidth="1"/>
    <col min="4" max="4" width="11.7109375" customWidth="1"/>
    <col min="5" max="5" width="13" customWidth="1"/>
    <col min="6" max="6" width="12.85546875" customWidth="1"/>
    <col min="7" max="7" width="12.85546875" bestFit="1" customWidth="1"/>
    <col min="8" max="8" width="1.7109375" customWidth="1"/>
  </cols>
  <sheetData>
    <row r="1" spans="1:7" ht="15.75" x14ac:dyDescent="0.25">
      <c r="A1" s="7" t="s">
        <v>35</v>
      </c>
      <c r="B1" s="7"/>
    </row>
    <row r="2" spans="1:7" x14ac:dyDescent="0.2">
      <c r="A2" s="3" t="s">
        <v>36</v>
      </c>
      <c r="B2" s="3"/>
    </row>
    <row r="4" spans="1:7" s="3" customFormat="1" x14ac:dyDescent="0.2">
      <c r="A4" s="3" t="s">
        <v>37</v>
      </c>
      <c r="B4" s="8" t="s">
        <v>38</v>
      </c>
      <c r="C4" s="15"/>
      <c r="D4" s="15"/>
      <c r="E4" s="15"/>
      <c r="F4" s="9"/>
      <c r="G4" s="16"/>
    </row>
    <row r="5" spans="1:7" x14ac:dyDescent="0.2">
      <c r="A5" s="3" t="s">
        <v>39</v>
      </c>
      <c r="B5" s="10">
        <f>+'Portfolio Appraisal'!H2</f>
        <v>45077</v>
      </c>
      <c r="D5" s="10"/>
      <c r="E5" s="10"/>
    </row>
    <row r="6" spans="1:7" x14ac:dyDescent="0.2">
      <c r="A6" s="3" t="s">
        <v>40</v>
      </c>
      <c r="B6" s="32" t="s">
        <v>47</v>
      </c>
    </row>
    <row r="8" spans="1:7" s="12" customFormat="1" x14ac:dyDescent="0.2">
      <c r="A8" s="11"/>
      <c r="B8" s="11"/>
      <c r="C8" s="11"/>
      <c r="D8" s="11"/>
      <c r="E8" s="11"/>
      <c r="F8" s="11"/>
      <c r="G8" s="11" t="s">
        <v>41</v>
      </c>
    </row>
    <row r="9" spans="1:7" s="12" customFormat="1" x14ac:dyDescent="0.2">
      <c r="A9" s="13" t="s">
        <v>42</v>
      </c>
      <c r="B9" s="13" t="s">
        <v>48</v>
      </c>
      <c r="C9" s="13" t="s">
        <v>43</v>
      </c>
      <c r="D9" s="13" t="s">
        <v>49</v>
      </c>
      <c r="E9" s="13" t="s">
        <v>50</v>
      </c>
      <c r="F9" s="13" t="s">
        <v>45</v>
      </c>
      <c r="G9" s="13" t="s">
        <v>44</v>
      </c>
    </row>
    <row r="10" spans="1:7" s="14" customFormat="1" x14ac:dyDescent="0.2">
      <c r="B10" s="22"/>
      <c r="C10" s="19"/>
      <c r="D10" s="19"/>
      <c r="E10" s="19"/>
      <c r="F10" s="21"/>
      <c r="G10" s="20"/>
    </row>
    <row r="11" spans="1:7" s="14" customFormat="1" x14ac:dyDescent="0.2">
      <c r="A11" s="56" t="s">
        <v>53</v>
      </c>
      <c r="B11" s="1">
        <v>45055</v>
      </c>
      <c r="C11" s="53" t="s">
        <v>145</v>
      </c>
      <c r="D11" t="str">
        <f>"Buy"</f>
        <v>Buy</v>
      </c>
      <c r="E11" t="str">
        <f>"ALIT"</f>
        <v>ALIT</v>
      </c>
      <c r="F11" s="2">
        <v>11185</v>
      </c>
      <c r="G11">
        <v>223.7</v>
      </c>
    </row>
    <row r="12" spans="1:7" s="14" customFormat="1" x14ac:dyDescent="0.2">
      <c r="A12" s="56" t="s">
        <v>53</v>
      </c>
      <c r="B12" s="1">
        <v>45070</v>
      </c>
      <c r="C12" s="53" t="s">
        <v>145</v>
      </c>
      <c r="D12" t="str">
        <f>"Sell"</f>
        <v>Sell</v>
      </c>
      <c r="E12" t="str">
        <f>"GOOGL"</f>
        <v>GOOGL</v>
      </c>
      <c r="F12" s="2">
        <v>1080</v>
      </c>
      <c r="G12">
        <v>43.2</v>
      </c>
    </row>
    <row r="13" spans="1:7" s="14" customFormat="1" x14ac:dyDescent="0.2">
      <c r="A13" s="56"/>
      <c r="B13" s="1"/>
      <c r="C13" s="53"/>
      <c r="D13"/>
      <c r="E13"/>
      <c r="F13" s="2"/>
      <c r="G13"/>
    </row>
    <row r="14" spans="1:7" s="14" customFormat="1" x14ac:dyDescent="0.2">
      <c r="A14" s="56"/>
      <c r="B14" s="38"/>
      <c r="C14" s="53"/>
      <c r="D14" s="24"/>
    </row>
    <row r="15" spans="1:7" s="14" customFormat="1" x14ac:dyDescent="0.2">
      <c r="A15" s="56"/>
      <c r="B15" s="38"/>
      <c r="C15" s="19"/>
      <c r="D15" s="24"/>
      <c r="E15" s="19"/>
      <c r="F15" s="52"/>
      <c r="G15" s="20"/>
    </row>
    <row r="16" spans="1:7" x14ac:dyDescent="0.2">
      <c r="A16" s="3" t="s">
        <v>46</v>
      </c>
      <c r="B16" s="23"/>
      <c r="F16" s="17">
        <f>SUM(F11:F15)</f>
        <v>12265</v>
      </c>
      <c r="G16" s="18">
        <f>SUM(G12:G15)</f>
        <v>43.2</v>
      </c>
    </row>
    <row r="20" spans="1:7" x14ac:dyDescent="0.2">
      <c r="G20" s="42"/>
    </row>
    <row r="27" spans="1:7" x14ac:dyDescent="0.2">
      <c r="A27" s="56"/>
      <c r="E27" s="54"/>
      <c r="F27" s="52"/>
    </row>
    <row r="29" spans="1:7" x14ac:dyDescent="0.2">
      <c r="A29" s="1"/>
      <c r="E29" s="2"/>
      <c r="F29" s="2"/>
    </row>
    <row r="30" spans="1:7" x14ac:dyDescent="0.2">
      <c r="A30" s="1"/>
      <c r="F30" s="2"/>
    </row>
    <row r="31" spans="1:7" x14ac:dyDescent="0.2">
      <c r="A31" s="1"/>
      <c r="F31" s="2"/>
    </row>
  </sheetData>
  <sortState xmlns:xlrd2="http://schemas.microsoft.com/office/spreadsheetml/2017/richdata2" ref="A11:G12">
    <sortCondition ref="B11:B12"/>
  </sortState>
  <phoneticPr fontId="5" type="noConversion"/>
  <pageMargins left="0.25" right="0.25" top="0.5" bottom="0.5" header="0.5" footer="0.5"/>
  <pageSetup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45"/>
  <sheetViews>
    <sheetView topLeftCell="A16" workbookViewId="0">
      <selection activeCell="M34" sqref="M34"/>
    </sheetView>
  </sheetViews>
  <sheetFormatPr defaultColWidth="9" defaultRowHeight="12.75" x14ac:dyDescent="0.2"/>
  <cols>
    <col min="2" max="2" width="12.28515625" bestFit="1" customWidth="1"/>
    <col min="3" max="3" width="36.85546875" bestFit="1" customWidth="1"/>
    <col min="4" max="4" width="8.42578125" bestFit="1" customWidth="1"/>
    <col min="5" max="5" width="13.7109375" bestFit="1" customWidth="1"/>
    <col min="6" max="6" width="15.7109375" bestFit="1" customWidth="1"/>
    <col min="7" max="8" width="12.7109375" bestFit="1" customWidth="1"/>
    <col min="9" max="9" width="22.7109375" bestFit="1" customWidth="1"/>
    <col min="10" max="10" width="19.5703125" bestFit="1" customWidth="1"/>
    <col min="11" max="11" width="12.5703125" customWidth="1"/>
    <col min="15" max="15" width="10.140625" bestFit="1" customWidth="1"/>
    <col min="17" max="17" width="11.7109375" bestFit="1" customWidth="1"/>
    <col min="18" max="18" width="10.140625" bestFit="1" customWidth="1"/>
  </cols>
  <sheetData>
    <row r="1" spans="1:18" x14ac:dyDescent="0.2">
      <c r="K1" s="2"/>
    </row>
    <row r="2" spans="1:18" x14ac:dyDescent="0.2">
      <c r="B2" s="2" t="s">
        <v>60</v>
      </c>
      <c r="D2" s="2" t="s">
        <v>0</v>
      </c>
      <c r="E2" s="2" t="s">
        <v>1</v>
      </c>
      <c r="F2" s="2"/>
      <c r="G2" s="2" t="s">
        <v>1</v>
      </c>
      <c r="H2" s="2" t="s">
        <v>2</v>
      </c>
      <c r="I2" t="s">
        <v>3</v>
      </c>
      <c r="J2" t="s">
        <v>63</v>
      </c>
      <c r="K2" s="2"/>
    </row>
    <row r="3" spans="1:18" x14ac:dyDescent="0.2">
      <c r="A3" t="s">
        <v>54</v>
      </c>
      <c r="B3" t="s">
        <v>4</v>
      </c>
      <c r="C3" t="s">
        <v>5</v>
      </c>
      <c r="D3" s="2" t="s">
        <v>6</v>
      </c>
      <c r="E3" s="2" t="s">
        <v>7</v>
      </c>
      <c r="F3" s="2" t="s">
        <v>7</v>
      </c>
      <c r="G3" s="2" t="s">
        <v>8</v>
      </c>
      <c r="H3" s="2" t="s">
        <v>8</v>
      </c>
      <c r="I3" t="s">
        <v>9</v>
      </c>
      <c r="J3" t="s">
        <v>64</v>
      </c>
      <c r="K3" s="2"/>
    </row>
    <row r="4" spans="1:18" x14ac:dyDescent="0.2">
      <c r="K4" s="2"/>
    </row>
    <row r="5" spans="1:18" x14ac:dyDescent="0.2">
      <c r="K5" s="2"/>
    </row>
    <row r="6" spans="1:18" x14ac:dyDescent="0.2">
      <c r="A6" t="str">
        <f>"Symbol"</f>
        <v>Symbol</v>
      </c>
      <c r="B6" t="str">
        <f>"Quantity"</f>
        <v>Quantity</v>
      </c>
      <c r="C6" t="str">
        <f>"Description"</f>
        <v>Description</v>
      </c>
      <c r="D6" t="str">
        <f>"Weight"</f>
        <v>Weight</v>
      </c>
      <c r="F6" t="str">
        <f>"Cost Basis"</f>
        <v>Cost Basis</v>
      </c>
      <c r="G6" t="str">
        <f>"Price"</f>
        <v>Price</v>
      </c>
      <c r="H6" t="str">
        <f>"Value"</f>
        <v>Value</v>
      </c>
      <c r="I6" t="str">
        <f>"Unrealized Gain/Loss"</f>
        <v>Unrealized Gain/Loss</v>
      </c>
      <c r="J6" t="str">
        <f>"Accrued Income"</f>
        <v>Accrued Income</v>
      </c>
      <c r="K6" s="2"/>
    </row>
    <row r="7" spans="1:18" x14ac:dyDescent="0.2">
      <c r="B7" s="2"/>
      <c r="D7" s="58"/>
      <c r="E7" s="25"/>
      <c r="F7" s="2"/>
      <c r="H7" s="2"/>
      <c r="I7" s="2"/>
      <c r="K7" s="2"/>
    </row>
    <row r="8" spans="1:18" x14ac:dyDescent="0.2">
      <c r="B8" s="2"/>
      <c r="D8" s="58"/>
      <c r="E8" s="25"/>
      <c r="F8" s="2"/>
      <c r="H8" s="2"/>
      <c r="I8" s="2"/>
      <c r="K8" s="2"/>
    </row>
    <row r="9" spans="1:18" x14ac:dyDescent="0.2">
      <c r="A9" t="str">
        <f>"Symbol"</f>
        <v>Symbol</v>
      </c>
      <c r="B9" t="str">
        <f>"Quantity"</f>
        <v>Quantity</v>
      </c>
      <c r="C9" t="str">
        <f>"Description"</f>
        <v>Description</v>
      </c>
      <c r="D9" t="str">
        <f>"Weight"</f>
        <v>Weight</v>
      </c>
      <c r="F9" t="str">
        <f>"Cost Basis"</f>
        <v>Cost Basis</v>
      </c>
      <c r="G9" t="str">
        <f>"Price"</f>
        <v>Price</v>
      </c>
      <c r="H9" t="str">
        <f>"Value"</f>
        <v>Value</v>
      </c>
      <c r="I9" t="str">
        <f>"Unrealized Gain/Loss"</f>
        <v>Unrealized Gain/Loss</v>
      </c>
      <c r="J9" t="str">
        <f>"Accrued Income"</f>
        <v>Accrued Income</v>
      </c>
    </row>
    <row r="10" spans="1:18" x14ac:dyDescent="0.2">
      <c r="B10" s="2"/>
      <c r="D10" s="58"/>
      <c r="F10" s="2"/>
      <c r="H10" s="2"/>
      <c r="I10" s="2"/>
      <c r="O10" s="2"/>
      <c r="Q10" s="2"/>
      <c r="R10" s="2"/>
    </row>
    <row r="11" spans="1:18" x14ac:dyDescent="0.2">
      <c r="A11" t="str">
        <f>"Symbol"</f>
        <v>Symbol</v>
      </c>
      <c r="B11" t="str">
        <f>"Quantity"</f>
        <v>Quantity</v>
      </c>
      <c r="C11" t="str">
        <f>"Description"</f>
        <v>Description</v>
      </c>
      <c r="D11" t="str">
        <f>"Weight"</f>
        <v>Weight</v>
      </c>
      <c r="F11" t="str">
        <f>"Cost Basis"</f>
        <v>Cost Basis</v>
      </c>
      <c r="G11" t="str">
        <f>"Price"</f>
        <v>Price</v>
      </c>
      <c r="H11" t="str">
        <f>"Value"</f>
        <v>Value</v>
      </c>
      <c r="I11" t="str">
        <f>"Unrealized Gain/Loss"</f>
        <v>Unrealized Gain/Loss</v>
      </c>
      <c r="J11" t="str">
        <f>"Accrued Income"</f>
        <v>Accrued Income</v>
      </c>
      <c r="K11" s="2"/>
    </row>
    <row r="12" spans="1:18" x14ac:dyDescent="0.2">
      <c r="B12" s="2"/>
      <c r="D12" s="58"/>
      <c r="F12" s="2"/>
      <c r="H12" s="2"/>
      <c r="I12" s="2"/>
    </row>
    <row r="13" spans="1:18" x14ac:dyDescent="0.2">
      <c r="B13" s="2"/>
      <c r="D13" s="58"/>
      <c r="F13" s="2"/>
      <c r="H13" s="2"/>
      <c r="I13" s="2"/>
      <c r="K13" s="2"/>
      <c r="L13" s="2"/>
    </row>
    <row r="14" spans="1:18" x14ac:dyDescent="0.2">
      <c r="A14" t="str">
        <f>"Symbol"</f>
        <v>Symbol</v>
      </c>
      <c r="B14" t="str">
        <f>"Quantity"</f>
        <v>Quantity</v>
      </c>
      <c r="C14" t="str">
        <f>"Description"</f>
        <v>Description</v>
      </c>
      <c r="D14" t="str">
        <f>"Weight"</f>
        <v>Weight</v>
      </c>
      <c r="F14" t="str">
        <f>"Cost Basis"</f>
        <v>Cost Basis</v>
      </c>
      <c r="G14" t="str">
        <f>"Price"</f>
        <v>Price</v>
      </c>
      <c r="H14" t="str">
        <f>"Value"</f>
        <v>Value</v>
      </c>
      <c r="I14" t="str">
        <f>"Unrealized Gain/Loss"</f>
        <v>Unrealized Gain/Loss</v>
      </c>
      <c r="J14" t="str">
        <f>"Accrued Income"</f>
        <v>Accrued Income</v>
      </c>
      <c r="K14" s="2"/>
      <c r="L14" s="2"/>
    </row>
    <row r="15" spans="1:18" x14ac:dyDescent="0.2">
      <c r="B15" s="2"/>
      <c r="D15" s="58"/>
      <c r="F15" s="2"/>
      <c r="H15" s="2"/>
      <c r="I15" s="2"/>
      <c r="K15" s="2"/>
      <c r="L15" s="2"/>
    </row>
    <row r="16" spans="1:18" x14ac:dyDescent="0.2">
      <c r="B16" s="2"/>
      <c r="D16" s="58"/>
      <c r="E16" s="2" t="s">
        <v>1</v>
      </c>
      <c r="F16" s="2"/>
      <c r="H16" s="2"/>
      <c r="I16" s="2"/>
      <c r="K16" s="2"/>
      <c r="L16" s="2"/>
    </row>
    <row r="17" spans="1:11" x14ac:dyDescent="0.2">
      <c r="A17" t="str">
        <f>"Symbol"</f>
        <v>Symbol</v>
      </c>
      <c r="B17" t="str">
        <f>"Quantity"</f>
        <v>Quantity</v>
      </c>
      <c r="C17" t="str">
        <f>"Description"</f>
        <v>Description</v>
      </c>
      <c r="D17" t="str">
        <f>"Weight"</f>
        <v>Weight</v>
      </c>
      <c r="E17" s="2" t="s">
        <v>7</v>
      </c>
      <c r="F17" t="str">
        <f>"Cost Basis"</f>
        <v>Cost Basis</v>
      </c>
      <c r="G17" t="str">
        <f>"Price"</f>
        <v>Price</v>
      </c>
      <c r="H17" t="str">
        <f>"Value"</f>
        <v>Value</v>
      </c>
      <c r="I17" t="str">
        <f>"Unrealized Gain/Loss"</f>
        <v>Unrealized Gain/Loss</v>
      </c>
      <c r="J17" t="str">
        <f>"Accrued Income"</f>
        <v>Accrued Income</v>
      </c>
      <c r="K17" s="2"/>
    </row>
    <row r="18" spans="1:11" x14ac:dyDescent="0.2">
      <c r="A18" t="str">
        <f>"ALIT"</f>
        <v>ALIT</v>
      </c>
      <c r="B18" s="2">
        <v>43750</v>
      </c>
      <c r="C18" t="str">
        <f>"Alight Inc"</f>
        <v>Alight Inc</v>
      </c>
      <c r="D18" s="58">
        <v>1.9699999999999999E-2</v>
      </c>
      <c r="E18" s="25">
        <f>F18/B18</f>
        <v>9.2308550857142855</v>
      </c>
      <c r="F18" s="2">
        <v>403849.91</v>
      </c>
      <c r="G18">
        <v>8.4600000000000009</v>
      </c>
      <c r="H18" s="2">
        <v>370125</v>
      </c>
      <c r="I18" s="2">
        <v>-33724.910000000003</v>
      </c>
      <c r="J18" t="str">
        <f>""</f>
        <v/>
      </c>
      <c r="K18" s="2"/>
    </row>
    <row r="19" spans="1:11" x14ac:dyDescent="0.2">
      <c r="A19" t="str">
        <f>"GOOGL"</f>
        <v>GOOGL</v>
      </c>
      <c r="B19" s="2">
        <v>5420</v>
      </c>
      <c r="C19" t="str">
        <f>"Alphabet Inc"</f>
        <v>Alphabet Inc</v>
      </c>
      <c r="D19" s="58">
        <v>3.5499999999999997E-2</v>
      </c>
      <c r="E19" s="25">
        <f t="shared" ref="E19:E53" si="0">F19/B19</f>
        <v>62.905739852398519</v>
      </c>
      <c r="F19" s="2">
        <v>340949.11</v>
      </c>
      <c r="G19">
        <v>122.87</v>
      </c>
      <c r="H19" s="2">
        <v>665955.4</v>
      </c>
      <c r="I19" s="2">
        <v>325006.28999999998</v>
      </c>
      <c r="J19" t="str">
        <f>""</f>
        <v/>
      </c>
      <c r="K19" s="2"/>
    </row>
    <row r="20" spans="1:11" x14ac:dyDescent="0.2">
      <c r="A20" t="str">
        <f>"ATEX"</f>
        <v>ATEX</v>
      </c>
      <c r="B20" s="2">
        <v>8180</v>
      </c>
      <c r="C20" t="str">
        <f>"Anterix Inc"</f>
        <v>Anterix Inc</v>
      </c>
      <c r="D20" s="58">
        <v>1.4200000000000001E-2</v>
      </c>
      <c r="E20" s="25">
        <f t="shared" si="0"/>
        <v>59.017672371638142</v>
      </c>
      <c r="F20" s="2">
        <v>482764.56</v>
      </c>
      <c r="G20">
        <v>32.65</v>
      </c>
      <c r="H20" s="2">
        <v>267077</v>
      </c>
      <c r="I20" s="2">
        <v>-215687.56</v>
      </c>
      <c r="J20" t="str">
        <f>""</f>
        <v/>
      </c>
      <c r="K20" s="2"/>
    </row>
    <row r="21" spans="1:11" x14ac:dyDescent="0.2">
      <c r="A21" t="str">
        <f>"AON"</f>
        <v>AON</v>
      </c>
      <c r="B21" s="2">
        <v>2047</v>
      </c>
      <c r="C21" t="str">
        <f>"Aon PLC"</f>
        <v>Aon PLC</v>
      </c>
      <c r="D21" s="58">
        <v>3.3599999999999998E-2</v>
      </c>
      <c r="E21" s="25">
        <f t="shared" si="0"/>
        <v>105.31171958964337</v>
      </c>
      <c r="F21" s="2">
        <v>215573.09</v>
      </c>
      <c r="G21">
        <v>308.29000000000002</v>
      </c>
      <c r="H21" s="2">
        <v>631069.63</v>
      </c>
      <c r="I21" s="2">
        <v>415496.54</v>
      </c>
      <c r="J21" t="str">
        <f>""</f>
        <v/>
      </c>
      <c r="K21" s="2"/>
    </row>
    <row r="22" spans="1:11" x14ac:dyDescent="0.2">
      <c r="A22" t="str">
        <f>"APG"</f>
        <v>APG</v>
      </c>
      <c r="B22" s="2">
        <v>23785</v>
      </c>
      <c r="C22" t="str">
        <f>"API Group Corp"</f>
        <v>API Group Corp</v>
      </c>
      <c r="D22" s="58">
        <v>2.87E-2</v>
      </c>
      <c r="E22" s="25">
        <f t="shared" si="0"/>
        <v>18.734204750893419</v>
      </c>
      <c r="F22" s="2">
        <v>445593.06</v>
      </c>
      <c r="G22">
        <v>22.6</v>
      </c>
      <c r="H22" s="2">
        <v>537541</v>
      </c>
      <c r="I22" s="2">
        <v>91947.94</v>
      </c>
      <c r="J22" t="str">
        <f>""</f>
        <v/>
      </c>
      <c r="K22" s="2"/>
    </row>
    <row r="23" spans="1:11" x14ac:dyDescent="0.2">
      <c r="A23" t="str">
        <f>"AZO"</f>
        <v>AZO</v>
      </c>
      <c r="B23">
        <v>464</v>
      </c>
      <c r="C23" t="str">
        <f>"AutoZone Inc"</f>
        <v>AutoZone Inc</v>
      </c>
      <c r="D23" s="58">
        <v>5.91E-2</v>
      </c>
      <c r="E23" s="25">
        <f t="shared" si="0"/>
        <v>406.86829741379313</v>
      </c>
      <c r="F23" s="2">
        <v>188786.89</v>
      </c>
      <c r="G23" s="2">
        <v>2386.84</v>
      </c>
      <c r="H23" s="2">
        <v>1107493.76</v>
      </c>
      <c r="I23" s="2">
        <v>918706.87</v>
      </c>
      <c r="J23" t="str">
        <f>""</f>
        <v/>
      </c>
      <c r="K23" s="2"/>
    </row>
    <row r="24" spans="1:11" x14ac:dyDescent="0.2">
      <c r="A24" t="str">
        <f>"AVGO"</f>
        <v>AVGO</v>
      </c>
      <c r="B24" s="2">
        <v>1458</v>
      </c>
      <c r="C24" t="str">
        <f>"Broadcom Inc"</f>
        <v>Broadcom Inc</v>
      </c>
      <c r="D24" s="58">
        <v>6.2799999999999995E-2</v>
      </c>
      <c r="E24" s="25">
        <f t="shared" si="0"/>
        <v>253.43285322359395</v>
      </c>
      <c r="F24" s="2">
        <v>369505.1</v>
      </c>
      <c r="G24">
        <v>807.96</v>
      </c>
      <c r="H24" s="2">
        <v>1178005.68</v>
      </c>
      <c r="I24" s="2">
        <v>808500.58</v>
      </c>
      <c r="J24" t="str">
        <f>""</f>
        <v/>
      </c>
      <c r="K24" s="2"/>
    </row>
    <row r="25" spans="1:11" x14ac:dyDescent="0.2">
      <c r="A25" t="str">
        <f>"BAM"</f>
        <v>BAM</v>
      </c>
      <c r="B25" s="2">
        <v>2732</v>
      </c>
      <c r="C25" t="str">
        <f>"Brookfield Asset Management Inc Class A"</f>
        <v>Brookfield Asset Management Inc Class A</v>
      </c>
      <c r="D25" s="58">
        <v>4.4999999999999997E-3</v>
      </c>
      <c r="E25" s="25">
        <f t="shared" si="0"/>
        <v>36.599363103953152</v>
      </c>
      <c r="F25" s="2">
        <v>99989.46</v>
      </c>
      <c r="G25">
        <v>30.52</v>
      </c>
      <c r="H25" s="2">
        <v>83380.639999999999</v>
      </c>
      <c r="I25" s="2">
        <v>-16608.82</v>
      </c>
      <c r="J25" s="2">
        <v>1065.48</v>
      </c>
      <c r="K25" s="2"/>
    </row>
    <row r="26" spans="1:11" x14ac:dyDescent="0.2">
      <c r="A26" t="str">
        <f>"BN"</f>
        <v>BN</v>
      </c>
      <c r="B26" s="2">
        <v>10930</v>
      </c>
      <c r="C26" t="str">
        <f>"Brookfield Corp"</f>
        <v>Brookfield Corp</v>
      </c>
      <c r="D26" s="58">
        <v>1.7500000000000002E-2</v>
      </c>
      <c r="E26" s="25">
        <f t="shared" si="0"/>
        <v>39.73085727355901</v>
      </c>
      <c r="F26" s="2">
        <v>434258.27</v>
      </c>
      <c r="G26">
        <v>30.04</v>
      </c>
      <c r="H26" s="2">
        <v>328337.2</v>
      </c>
      <c r="I26" s="2">
        <v>-105921.07</v>
      </c>
      <c r="J26">
        <v>765.1</v>
      </c>
      <c r="K26" s="2"/>
    </row>
    <row r="27" spans="1:11" x14ac:dyDescent="0.2">
      <c r="A27" t="str">
        <f>"CP"</f>
        <v>CP</v>
      </c>
      <c r="B27" s="2">
        <v>6420</v>
      </c>
      <c r="C27" t="str">
        <f>"Canadian Pacific Kansas City Ltd"</f>
        <v>Canadian Pacific Kansas City Ltd</v>
      </c>
      <c r="D27" s="58">
        <v>2.6100000000000002E-2</v>
      </c>
      <c r="E27" s="25">
        <f t="shared" si="0"/>
        <v>73.631208722741434</v>
      </c>
      <c r="F27" s="2">
        <v>472712.36</v>
      </c>
      <c r="G27">
        <v>76.2</v>
      </c>
      <c r="H27" s="2">
        <v>489204</v>
      </c>
      <c r="I27" s="2">
        <v>16491.64</v>
      </c>
      <c r="J27" t="str">
        <f>""</f>
        <v/>
      </c>
      <c r="K27" s="2"/>
    </row>
    <row r="28" spans="1:11" x14ac:dyDescent="0.2">
      <c r="A28" t="str">
        <f>"CIGI"</f>
        <v>CIGI</v>
      </c>
      <c r="B28" s="2">
        <v>7529</v>
      </c>
      <c r="C28" t="str">
        <f>"Colliers International Group"</f>
        <v>Colliers International Group</v>
      </c>
      <c r="D28" s="58">
        <v>3.73E-2</v>
      </c>
      <c r="E28" s="25">
        <f t="shared" si="0"/>
        <v>44.373660512684282</v>
      </c>
      <c r="F28" s="2">
        <v>334089.28999999998</v>
      </c>
      <c r="G28">
        <v>93</v>
      </c>
      <c r="H28" s="2">
        <v>700197</v>
      </c>
      <c r="I28" s="2">
        <v>366107.71</v>
      </c>
      <c r="J28" t="str">
        <f>""</f>
        <v/>
      </c>
      <c r="K28" s="2"/>
    </row>
    <row r="29" spans="1:11" x14ac:dyDescent="0.2">
      <c r="A29" t="str">
        <f>"CTRA"</f>
        <v>CTRA</v>
      </c>
      <c r="B29" s="2">
        <v>17770</v>
      </c>
      <c r="C29" t="str">
        <f>"Coterra Energy Inc"</f>
        <v>Coterra Energy Inc</v>
      </c>
      <c r="D29" s="58">
        <v>2.1999999999999999E-2</v>
      </c>
      <c r="E29" s="25">
        <f t="shared" si="0"/>
        <v>28.502201463140125</v>
      </c>
      <c r="F29" s="2">
        <v>506484.12</v>
      </c>
      <c r="G29">
        <v>23.25</v>
      </c>
      <c r="H29" s="2">
        <v>413152.5</v>
      </c>
      <c r="I29" s="2">
        <v>-93331.62</v>
      </c>
      <c r="J29" t="str">
        <f>""</f>
        <v/>
      </c>
      <c r="K29" s="2"/>
    </row>
    <row r="30" spans="1:11" x14ac:dyDescent="0.2">
      <c r="A30" t="str">
        <f>"DLTR"</f>
        <v>DLTR</v>
      </c>
      <c r="B30" s="2">
        <v>4765</v>
      </c>
      <c r="C30" t="str">
        <f>"Dollar Tree Inc"</f>
        <v>Dollar Tree Inc</v>
      </c>
      <c r="D30" s="58">
        <v>3.4299999999999997E-2</v>
      </c>
      <c r="E30" s="25">
        <f t="shared" si="0"/>
        <v>37.418285414480586</v>
      </c>
      <c r="F30" s="2">
        <v>178298.13</v>
      </c>
      <c r="G30">
        <v>134.88</v>
      </c>
      <c r="H30" s="2">
        <v>642703.19999999995</v>
      </c>
      <c r="I30" s="2">
        <v>464405.07</v>
      </c>
      <c r="J30" t="str">
        <f>""</f>
        <v/>
      </c>
      <c r="K30" s="2"/>
    </row>
    <row r="31" spans="1:11" x14ac:dyDescent="0.2">
      <c r="A31" t="str">
        <f>"DBX"</f>
        <v>DBX</v>
      </c>
      <c r="B31" s="2">
        <v>13860</v>
      </c>
      <c r="C31" t="str">
        <f>"Dropbox Inc"</f>
        <v>Dropbox Inc</v>
      </c>
      <c r="D31" s="58">
        <v>1.7000000000000001E-2</v>
      </c>
      <c r="E31" s="25">
        <f t="shared" si="0"/>
        <v>21.333880230880233</v>
      </c>
      <c r="F31" s="2">
        <v>295687.58</v>
      </c>
      <c r="G31">
        <v>23.02</v>
      </c>
      <c r="H31" s="2">
        <v>319057.2</v>
      </c>
      <c r="I31" s="2">
        <v>23369.62</v>
      </c>
      <c r="J31" t="str">
        <f>""</f>
        <v/>
      </c>
      <c r="K31" s="2"/>
    </row>
    <row r="32" spans="1:11" x14ac:dyDescent="0.2">
      <c r="A32" t="str">
        <f>"EBAY"</f>
        <v>EBAY</v>
      </c>
      <c r="B32" s="2">
        <v>7365</v>
      </c>
      <c r="C32" t="str">
        <f>"eBay Inc"</f>
        <v>eBay Inc</v>
      </c>
      <c r="D32" s="58">
        <v>1.6799999999999999E-2</v>
      </c>
      <c r="E32" s="25">
        <f t="shared" si="0"/>
        <v>40.565665987780044</v>
      </c>
      <c r="F32" s="2">
        <v>298766.13</v>
      </c>
      <c r="G32">
        <v>42.54</v>
      </c>
      <c r="H32" s="2">
        <v>313307.09999999998</v>
      </c>
      <c r="I32" s="2">
        <v>14540.97</v>
      </c>
      <c r="J32" s="2">
        <v>1841.25</v>
      </c>
      <c r="K32" s="2"/>
    </row>
    <row r="33" spans="1:11" x14ac:dyDescent="0.2">
      <c r="A33" t="str">
        <f>"EME"</f>
        <v>EME</v>
      </c>
      <c r="B33" s="2">
        <v>5842</v>
      </c>
      <c r="C33" t="str">
        <f>"EMCOR Group Inc"</f>
        <v>EMCOR Group Inc</v>
      </c>
      <c r="D33" s="58">
        <v>5.1299999999999998E-2</v>
      </c>
      <c r="E33" s="25">
        <f t="shared" si="0"/>
        <v>26.394176651831565</v>
      </c>
      <c r="F33" s="2">
        <v>154194.78</v>
      </c>
      <c r="G33">
        <v>164.84</v>
      </c>
      <c r="H33" s="2">
        <v>962995.28</v>
      </c>
      <c r="I33" s="2">
        <v>808800.5</v>
      </c>
      <c r="J33" t="str">
        <f>""</f>
        <v/>
      </c>
      <c r="K33" s="2"/>
    </row>
    <row r="34" spans="1:11" x14ac:dyDescent="0.2">
      <c r="A34" t="str">
        <f>"GXO"</f>
        <v>GXO</v>
      </c>
      <c r="B34" s="2">
        <v>5286</v>
      </c>
      <c r="C34" t="str">
        <f>"GXO Logistics Inc"</f>
        <v>GXO Logistics Inc</v>
      </c>
      <c r="D34" s="58">
        <v>1.5800000000000002E-2</v>
      </c>
      <c r="E34" s="25">
        <f t="shared" si="0"/>
        <v>30.194735149451379</v>
      </c>
      <c r="F34" s="2">
        <v>159609.37</v>
      </c>
      <c r="G34">
        <v>55.92</v>
      </c>
      <c r="H34" s="2">
        <v>295593.12</v>
      </c>
      <c r="I34" s="2">
        <v>135983.75</v>
      </c>
      <c r="J34" t="str">
        <f>""</f>
        <v/>
      </c>
      <c r="K34" s="2"/>
    </row>
    <row r="35" spans="1:11" x14ac:dyDescent="0.2">
      <c r="A35" t="str">
        <f>"ICUI"</f>
        <v>ICUI</v>
      </c>
      <c r="B35" s="2">
        <v>1530</v>
      </c>
      <c r="C35" t="str">
        <f>"ICU Medical Inc"</f>
        <v>ICU Medical Inc</v>
      </c>
      <c r="D35" s="58">
        <v>1.43E-2</v>
      </c>
      <c r="E35" s="25">
        <f t="shared" si="0"/>
        <v>184.53424183006535</v>
      </c>
      <c r="F35" s="2">
        <v>282337.39</v>
      </c>
      <c r="G35">
        <v>174.89</v>
      </c>
      <c r="H35" s="2">
        <v>267581.7</v>
      </c>
      <c r="I35" s="2">
        <v>-14755.69</v>
      </c>
      <c r="J35" t="str">
        <f>""</f>
        <v/>
      </c>
      <c r="K35" s="2"/>
    </row>
    <row r="36" spans="1:11" x14ac:dyDescent="0.2">
      <c r="A36" t="str">
        <f>"INMD"</f>
        <v>INMD</v>
      </c>
      <c r="B36" s="2">
        <v>10860</v>
      </c>
      <c r="C36" t="str">
        <f>"InMode Ltd"</f>
        <v>InMode Ltd</v>
      </c>
      <c r="D36" s="58">
        <v>1.83E-2</v>
      </c>
      <c r="E36" s="25">
        <f t="shared" si="0"/>
        <v>35.404738489871086</v>
      </c>
      <c r="F36" s="2">
        <v>384495.46</v>
      </c>
      <c r="G36">
        <v>31.57</v>
      </c>
      <c r="H36" s="2">
        <v>342850.2</v>
      </c>
      <c r="I36" s="2">
        <v>-41645.26</v>
      </c>
      <c r="J36" t="str">
        <f>""</f>
        <v/>
      </c>
      <c r="K36" s="2"/>
    </row>
    <row r="37" spans="1:11" x14ac:dyDescent="0.2">
      <c r="A37" t="str">
        <f>"IOSP"</f>
        <v>IOSP</v>
      </c>
      <c r="B37" s="2">
        <v>4666</v>
      </c>
      <c r="C37" t="str">
        <f>"Innospec Inc"</f>
        <v>Innospec Inc</v>
      </c>
      <c r="D37" s="58">
        <v>2.3E-2</v>
      </c>
      <c r="E37" s="25">
        <f t="shared" si="0"/>
        <v>41.991429489927135</v>
      </c>
      <c r="F37" s="2">
        <v>195932.01</v>
      </c>
      <c r="G37">
        <v>92.36</v>
      </c>
      <c r="H37" s="2">
        <v>430951.76</v>
      </c>
      <c r="I37" s="2">
        <v>235019.75</v>
      </c>
      <c r="J37" t="str">
        <f>""</f>
        <v/>
      </c>
      <c r="K37" s="2"/>
    </row>
    <row r="38" spans="1:11" x14ac:dyDescent="0.2">
      <c r="A38" t="str">
        <f>"LSXMA"</f>
        <v>LSXMA</v>
      </c>
      <c r="B38" s="2">
        <v>2902</v>
      </c>
      <c r="C38" t="str">
        <f>"Liberty SiriusXM Group A"</f>
        <v>Liberty SiriusXM Group A</v>
      </c>
      <c r="D38" s="58">
        <v>4.3E-3</v>
      </c>
      <c r="E38" s="25">
        <f t="shared" si="0"/>
        <v>11.464352170916611</v>
      </c>
      <c r="F38" s="2">
        <v>33269.550000000003</v>
      </c>
      <c r="G38">
        <v>27.98</v>
      </c>
      <c r="H38" s="2">
        <v>81197.960000000006</v>
      </c>
      <c r="I38" s="2">
        <v>47928.41</v>
      </c>
      <c r="J38" t="str">
        <f>""</f>
        <v/>
      </c>
      <c r="K38" s="2"/>
    </row>
    <row r="39" spans="1:11" x14ac:dyDescent="0.2">
      <c r="A39" t="str">
        <f>"LSXMK"</f>
        <v>LSXMK</v>
      </c>
      <c r="B39" s="2">
        <v>6892</v>
      </c>
      <c r="C39" t="str">
        <f>"Liberty SiriusXM Group C"</f>
        <v>Liberty SiriusXM Group C</v>
      </c>
      <c r="D39" s="58">
        <v>1.03E-2</v>
      </c>
      <c r="E39" s="25">
        <f t="shared" si="0"/>
        <v>17.799029309344167</v>
      </c>
      <c r="F39" s="2">
        <v>122670.91</v>
      </c>
      <c r="G39">
        <v>27.96</v>
      </c>
      <c r="H39" s="2">
        <v>192700.32</v>
      </c>
      <c r="I39" s="2">
        <v>70029.41</v>
      </c>
      <c r="J39" t="str">
        <f>""</f>
        <v/>
      </c>
      <c r="K39" s="2"/>
    </row>
    <row r="40" spans="1:11" x14ac:dyDescent="0.2">
      <c r="A40" t="str">
        <f>"MPC"</f>
        <v>MPC</v>
      </c>
      <c r="B40" s="2">
        <v>8324</v>
      </c>
      <c r="C40" t="str">
        <f>"Marathon Petroleum Corp"</f>
        <v>Marathon Petroleum Corp</v>
      </c>
      <c r="D40" s="58">
        <v>4.6899999999999997E-2</v>
      </c>
      <c r="E40" s="25">
        <f t="shared" si="0"/>
        <v>46.219012493993269</v>
      </c>
      <c r="F40" s="2">
        <v>384727.06</v>
      </c>
      <c r="G40">
        <v>104.91</v>
      </c>
      <c r="H40" s="2">
        <v>873270.84</v>
      </c>
      <c r="I40" s="2">
        <v>488543.78</v>
      </c>
      <c r="J40" s="2">
        <v>6243</v>
      </c>
      <c r="K40" s="2"/>
    </row>
    <row r="41" spans="1:11" x14ac:dyDescent="0.2">
      <c r="A41" t="str">
        <f>"MKL"</f>
        <v>MKL</v>
      </c>
      <c r="B41">
        <v>380</v>
      </c>
      <c r="C41" t="str">
        <f>"Markel Group Inc"</f>
        <v>Markel Group Inc</v>
      </c>
      <c r="D41" s="58">
        <v>2.6599999999999999E-2</v>
      </c>
      <c r="E41" s="25">
        <f t="shared" si="0"/>
        <v>618.26639473684213</v>
      </c>
      <c r="F41" s="2">
        <v>234941.23</v>
      </c>
      <c r="G41" s="2">
        <v>1314.73</v>
      </c>
      <c r="H41" s="2">
        <v>499597.4</v>
      </c>
      <c r="I41" s="2">
        <v>264656.17</v>
      </c>
      <c r="J41" t="str">
        <f>""</f>
        <v/>
      </c>
      <c r="K41" s="2"/>
    </row>
    <row r="42" spans="1:11" x14ac:dyDescent="0.2">
      <c r="A42" t="str">
        <f>"MTZ"</f>
        <v>MTZ</v>
      </c>
      <c r="B42" s="2">
        <v>11453</v>
      </c>
      <c r="C42" t="str">
        <f>"MasTec Inc"</f>
        <v>MasTec Inc</v>
      </c>
      <c r="D42" s="58">
        <v>6.1899999999999997E-2</v>
      </c>
      <c r="E42" s="25">
        <f t="shared" si="0"/>
        <v>20.497039203702087</v>
      </c>
      <c r="F42" s="2">
        <v>234752.59</v>
      </c>
      <c r="G42">
        <v>101.36</v>
      </c>
      <c r="H42" s="2">
        <v>1160876.08</v>
      </c>
      <c r="I42" s="2">
        <v>926123.49</v>
      </c>
      <c r="J42" t="str">
        <f>""</f>
        <v/>
      </c>
      <c r="K42" s="2"/>
    </row>
    <row r="43" spans="1:11" x14ac:dyDescent="0.2">
      <c r="A43" t="str">
        <f>"PXD"</f>
        <v>PXD</v>
      </c>
      <c r="B43" s="2">
        <v>1135</v>
      </c>
      <c r="C43" t="str">
        <f>"Pioneer Natural Resources Co"</f>
        <v>Pioneer Natural Resources Co</v>
      </c>
      <c r="D43" s="58">
        <v>1.21E-2</v>
      </c>
      <c r="E43" s="25">
        <f t="shared" si="0"/>
        <v>226.69259911894272</v>
      </c>
      <c r="F43" s="2">
        <v>257296.1</v>
      </c>
      <c r="G43">
        <v>199.44</v>
      </c>
      <c r="H43" s="2">
        <v>226364.4</v>
      </c>
      <c r="I43" s="2">
        <v>-30931.7</v>
      </c>
      <c r="J43" s="2">
        <v>1418.75</v>
      </c>
      <c r="K43" s="2"/>
    </row>
    <row r="44" spans="1:11" x14ac:dyDescent="0.2">
      <c r="A44" t="str">
        <f>"RSG"</f>
        <v>RSG</v>
      </c>
      <c r="B44" s="2">
        <v>4635</v>
      </c>
      <c r="C44" t="str">
        <f>"Republic Services Inc"</f>
        <v>Republic Services Inc</v>
      </c>
      <c r="D44" s="58">
        <v>3.5000000000000003E-2</v>
      </c>
      <c r="E44" s="25">
        <f t="shared" si="0"/>
        <v>81.653434735706583</v>
      </c>
      <c r="F44" s="2">
        <v>378463.67</v>
      </c>
      <c r="G44">
        <v>141.63</v>
      </c>
      <c r="H44" s="2">
        <v>656455.05000000005</v>
      </c>
      <c r="I44" s="2">
        <v>277991.38</v>
      </c>
      <c r="J44" t="str">
        <f>""</f>
        <v/>
      </c>
      <c r="K44" s="2"/>
    </row>
    <row r="45" spans="1:11" x14ac:dyDescent="0.2">
      <c r="A45" t="str">
        <f>"RXO"</f>
        <v>RXO</v>
      </c>
      <c r="B45" s="2">
        <v>15286</v>
      </c>
      <c r="C45" t="str">
        <f>"RXO Inc"</f>
        <v>RXO Inc</v>
      </c>
      <c r="D45" s="58">
        <v>1.7000000000000001E-2</v>
      </c>
      <c r="E45" s="25">
        <f t="shared" si="0"/>
        <v>11.161455580269529</v>
      </c>
      <c r="F45" s="2">
        <v>170614.01</v>
      </c>
      <c r="G45">
        <v>20.87</v>
      </c>
      <c r="H45" s="2">
        <v>319018.82</v>
      </c>
      <c r="I45" s="2">
        <v>148404.81</v>
      </c>
      <c r="J45" t="str">
        <f>""</f>
        <v/>
      </c>
      <c r="K45" s="2"/>
    </row>
    <row r="46" spans="1:11" x14ac:dyDescent="0.2">
      <c r="A46" t="str">
        <f>"SSNC"</f>
        <v>SSNC</v>
      </c>
      <c r="B46" s="2">
        <v>7247</v>
      </c>
      <c r="C46" t="str">
        <f>"SS&amp;C Technologies Holdings Inc"</f>
        <v>SS&amp;C Technologies Holdings Inc</v>
      </c>
      <c r="D46" s="58">
        <v>2.1299999999999999E-2</v>
      </c>
      <c r="E46" s="25">
        <f t="shared" si="0"/>
        <v>52.347178142679731</v>
      </c>
      <c r="F46" s="2">
        <v>379360</v>
      </c>
      <c r="G46">
        <v>54.96</v>
      </c>
      <c r="H46" s="2">
        <v>398295.12</v>
      </c>
      <c r="I46" s="2">
        <v>18935.12</v>
      </c>
      <c r="J46" s="2">
        <v>1449.4</v>
      </c>
      <c r="K46" s="2"/>
    </row>
    <row r="47" spans="1:11" x14ac:dyDescent="0.2">
      <c r="A47" t="str">
        <f>"LRN"</f>
        <v>LRN</v>
      </c>
      <c r="B47" s="2">
        <v>20000</v>
      </c>
      <c r="C47" t="str">
        <f>"Stride Inc"</f>
        <v>Stride Inc</v>
      </c>
      <c r="D47" s="58">
        <v>4.3099999999999999E-2</v>
      </c>
      <c r="E47" s="25">
        <f t="shared" si="0"/>
        <v>29.274812000000001</v>
      </c>
      <c r="F47" s="2">
        <v>585496.24</v>
      </c>
      <c r="G47">
        <v>40.409999999999997</v>
      </c>
      <c r="H47" s="2">
        <v>808200</v>
      </c>
      <c r="I47" s="2">
        <v>222703.76</v>
      </c>
      <c r="J47" t="str">
        <f>""</f>
        <v/>
      </c>
      <c r="K47" s="2"/>
    </row>
    <row r="48" spans="1:11" x14ac:dyDescent="0.2">
      <c r="A48" t="str">
        <f>"BCO"</f>
        <v>BCO</v>
      </c>
      <c r="B48" s="2">
        <v>6546</v>
      </c>
      <c r="C48" t="str">
        <f>"The Brink's Co"</f>
        <v>The Brink's Co</v>
      </c>
      <c r="D48" s="58">
        <v>2.3199999999999998E-2</v>
      </c>
      <c r="E48" s="25">
        <f t="shared" si="0"/>
        <v>54.036344332416739</v>
      </c>
      <c r="F48" s="2">
        <v>353721.91</v>
      </c>
      <c r="G48">
        <v>66.53</v>
      </c>
      <c r="H48" s="2">
        <v>435505.38</v>
      </c>
      <c r="I48" s="2">
        <v>81783.47</v>
      </c>
      <c r="J48" t="str">
        <f>""</f>
        <v/>
      </c>
      <c r="K48" s="2"/>
    </row>
    <row r="49" spans="1:12" x14ac:dyDescent="0.2">
      <c r="A49" t="str">
        <f>"SHYF"</f>
        <v>SHYF</v>
      </c>
      <c r="B49" s="2">
        <v>15137</v>
      </c>
      <c r="C49" t="str">
        <f>"The Shyft Group Inc"</f>
        <v>The Shyft Group Inc</v>
      </c>
      <c r="D49" s="58">
        <v>1.9E-2</v>
      </c>
      <c r="E49" s="25">
        <f t="shared" si="0"/>
        <v>15.688988571051066</v>
      </c>
      <c r="F49" s="2">
        <v>237484.22</v>
      </c>
      <c r="G49">
        <v>23.51</v>
      </c>
      <c r="H49" s="2">
        <v>355870.87</v>
      </c>
      <c r="I49" s="2">
        <v>118386.65</v>
      </c>
      <c r="J49">
        <v>756.85</v>
      </c>
      <c r="K49" s="2"/>
    </row>
    <row r="50" spans="1:12" x14ac:dyDescent="0.2">
      <c r="A50" t="str">
        <f>"VC"</f>
        <v>VC</v>
      </c>
      <c r="B50" s="2">
        <v>3857</v>
      </c>
      <c r="C50" t="str">
        <f>"Visteon Corp"</f>
        <v>Visteon Corp</v>
      </c>
      <c r="D50" s="58">
        <v>2.75E-2</v>
      </c>
      <c r="E50" s="25">
        <f t="shared" si="0"/>
        <v>74.644301270417429</v>
      </c>
      <c r="F50" s="2">
        <v>287903.07</v>
      </c>
      <c r="G50">
        <v>133.58000000000001</v>
      </c>
      <c r="H50" s="2">
        <v>515218.06</v>
      </c>
      <c r="I50" s="2">
        <v>227314.99</v>
      </c>
      <c r="J50" t="str">
        <f>""</f>
        <v/>
      </c>
      <c r="K50" s="2"/>
    </row>
    <row r="51" spans="1:12" x14ac:dyDescent="0.2">
      <c r="A51" t="str">
        <f>"VST"</f>
        <v>VST</v>
      </c>
      <c r="B51" s="2">
        <v>18310</v>
      </c>
      <c r="C51" t="str">
        <f>"Vistra Corp"</f>
        <v>Vistra Corp</v>
      </c>
      <c r="D51" s="58">
        <v>2.3400000000000001E-2</v>
      </c>
      <c r="E51" s="25">
        <f t="shared" si="0"/>
        <v>16.450043145821954</v>
      </c>
      <c r="F51" s="2">
        <v>301200.28999999998</v>
      </c>
      <c r="G51">
        <v>23.97</v>
      </c>
      <c r="H51" s="2">
        <v>438890.7</v>
      </c>
      <c r="I51" s="2">
        <v>137690.41</v>
      </c>
      <c r="J51" t="str">
        <f>""</f>
        <v/>
      </c>
      <c r="K51" s="2"/>
    </row>
    <row r="52" spans="1:12" x14ac:dyDescent="0.2">
      <c r="A52" t="str">
        <f>"VOYA"</f>
        <v>VOYA</v>
      </c>
      <c r="B52" s="2">
        <v>6816</v>
      </c>
      <c r="C52" t="str">
        <f>"Voya Financial Inc"</f>
        <v>Voya Financial Inc</v>
      </c>
      <c r="D52" s="58">
        <v>2.47E-2</v>
      </c>
      <c r="E52" s="25">
        <f t="shared" si="0"/>
        <v>31.553202758215964</v>
      </c>
      <c r="F52" s="2">
        <v>215066.63</v>
      </c>
      <c r="G52">
        <v>67.8</v>
      </c>
      <c r="H52" s="2">
        <v>462124.79999999999</v>
      </c>
      <c r="I52" s="2">
        <v>247058.17</v>
      </c>
      <c r="J52" s="2">
        <v>1363.2</v>
      </c>
      <c r="K52" s="2"/>
    </row>
    <row r="53" spans="1:12" x14ac:dyDescent="0.2">
      <c r="A53" t="str">
        <f>"DIS"</f>
        <v>DIS</v>
      </c>
      <c r="B53" s="2">
        <v>1925</v>
      </c>
      <c r="C53" t="str">
        <f>"Walt Disney Co"</f>
        <v>Walt Disney Co</v>
      </c>
      <c r="D53" s="58">
        <v>8.9999999999999993E-3</v>
      </c>
      <c r="E53" s="25">
        <f t="shared" si="0"/>
        <v>91.134301298701303</v>
      </c>
      <c r="F53" s="2">
        <v>175433.53</v>
      </c>
      <c r="G53">
        <v>87.96</v>
      </c>
      <c r="H53" s="2">
        <v>169323</v>
      </c>
      <c r="I53" s="2">
        <v>-6110.53</v>
      </c>
      <c r="J53" t="str">
        <f>""</f>
        <v/>
      </c>
      <c r="K53" s="2"/>
    </row>
    <row r="54" spans="1:12" x14ac:dyDescent="0.2">
      <c r="B54" s="2"/>
      <c r="D54" s="58"/>
      <c r="E54" s="25"/>
      <c r="F54" s="2"/>
      <c r="H54" s="2"/>
      <c r="I54" s="2"/>
      <c r="K54" s="2"/>
    </row>
    <row r="55" spans="1:12" x14ac:dyDescent="0.2">
      <c r="A55" t="str">
        <f>"CASH"</f>
        <v>CASH</v>
      </c>
      <c r="B55" t="str">
        <f>""</f>
        <v/>
      </c>
      <c r="C55" t="str">
        <f>"Cash"</f>
        <v>Cash</v>
      </c>
      <c r="D55" s="58">
        <v>4.2700000000000002E-2</v>
      </c>
      <c r="E55" s="25"/>
      <c r="F55" s="2">
        <v>800055.73</v>
      </c>
      <c r="G55" t="str">
        <f>""</f>
        <v/>
      </c>
      <c r="H55" s="2">
        <v>800055.73</v>
      </c>
      <c r="I55">
        <v>0</v>
      </c>
      <c r="J55" t="str">
        <f>""</f>
        <v/>
      </c>
      <c r="K55" s="2"/>
    </row>
    <row r="56" spans="1:12" x14ac:dyDescent="0.2">
      <c r="D56" s="58"/>
      <c r="E56" s="25"/>
      <c r="F56" s="2"/>
      <c r="H56" s="2"/>
      <c r="K56" s="2"/>
    </row>
    <row r="57" spans="1:12" x14ac:dyDescent="0.2">
      <c r="A57" t="str">
        <f>""</f>
        <v/>
      </c>
      <c r="B57" t="str">
        <f>""</f>
        <v/>
      </c>
      <c r="C57" t="str">
        <f>"Managed Assets Total"</f>
        <v>Managed Assets Total</v>
      </c>
      <c r="D57" s="58">
        <v>1</v>
      </c>
      <c r="E57" s="25"/>
      <c r="F57" s="2">
        <v>11396332.810000001</v>
      </c>
      <c r="G57" t="str">
        <f>""</f>
        <v/>
      </c>
      <c r="H57" s="2">
        <v>18754445.93</v>
      </c>
      <c r="I57" s="2">
        <v>7343210.0899999999</v>
      </c>
      <c r="J57" t="str">
        <f>""</f>
        <v/>
      </c>
      <c r="K57" s="2"/>
    </row>
    <row r="58" spans="1:12" x14ac:dyDescent="0.2">
      <c r="D58" s="58"/>
      <c r="E58" s="25"/>
      <c r="F58" s="2"/>
      <c r="H58" s="2"/>
      <c r="I58" s="2"/>
      <c r="K58" s="2"/>
    </row>
    <row r="59" spans="1:12" x14ac:dyDescent="0.2">
      <c r="A59" t="str">
        <f>""</f>
        <v/>
      </c>
      <c r="B59" t="str">
        <f>""</f>
        <v/>
      </c>
      <c r="C59" t="str">
        <f>"Total"</f>
        <v>Total</v>
      </c>
      <c r="D59" s="58">
        <v>1</v>
      </c>
      <c r="E59" s="25"/>
      <c r="F59" s="2">
        <v>11396332.810000001</v>
      </c>
      <c r="G59" t="str">
        <f>""</f>
        <v/>
      </c>
      <c r="H59" s="2">
        <v>18754445.93</v>
      </c>
      <c r="I59" s="2">
        <v>7343210.0899999999</v>
      </c>
      <c r="J59" t="str">
        <f>""</f>
        <v/>
      </c>
      <c r="K59" s="2"/>
    </row>
    <row r="60" spans="1:12" x14ac:dyDescent="0.2">
      <c r="A60" s="1"/>
      <c r="G60" s="58"/>
      <c r="J60" s="2"/>
      <c r="K60" s="2"/>
      <c r="L60" s="2"/>
    </row>
    <row r="145" spans="11:11" x14ac:dyDescent="0.2">
      <c r="K145" s="1"/>
    </row>
  </sheetData>
  <pageMargins left="0.25" right="0.25" top="0.5" bottom="0.5" header="0.5" footer="0.5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B666E-C4ED-416E-B642-69A065B4D6EF}">
  <dimension ref="A1:O19"/>
  <sheetViews>
    <sheetView workbookViewId="0">
      <selection activeCell="P4" sqref="P4"/>
    </sheetView>
  </sheetViews>
  <sheetFormatPr defaultRowHeight="12.75" x14ac:dyDescent="0.2"/>
  <cols>
    <col min="1" max="1" width="11.7109375" customWidth="1"/>
    <col min="2" max="2" width="23.28515625" bestFit="1" customWidth="1"/>
  </cols>
  <sheetData>
    <row r="1" spans="1:15" ht="15" x14ac:dyDescent="0.25">
      <c r="D1" s="60" t="s">
        <v>66</v>
      </c>
    </row>
    <row r="2" spans="1:15" s="59" customFormat="1" ht="63.75" x14ac:dyDescent="0.2">
      <c r="A2" s="62" t="str">
        <f>"Account Name"</f>
        <v>Account Name</v>
      </c>
      <c r="B2" s="62" t="str">
        <f>"Benchmark Name"</f>
        <v>Benchmark Name</v>
      </c>
      <c r="C2" s="62" t="str">
        <f>"8/22/2008 to 5/31/2023 Gross Return"</f>
        <v>8/22/2008 to 5/31/2023 Gross Return</v>
      </c>
      <c r="D2" s="62" t="str">
        <f>"8/22/2008 to 5/31/2023 Benchmark"</f>
        <v>8/22/2008 to 5/31/2023 Benchmark</v>
      </c>
      <c r="E2" s="62" t="str">
        <f>"Previous 3 Years Gross Return"</f>
        <v>Previous 3 Years Gross Return</v>
      </c>
      <c r="F2" s="62" t="str">
        <f>"Previous 3 Years Benchmark"</f>
        <v>Previous 3 Years Benchmark</v>
      </c>
      <c r="G2" s="62" t="str">
        <f>"Previous 5 Years Gross Return"</f>
        <v>Previous 5 Years Gross Return</v>
      </c>
      <c r="H2" s="62" t="str">
        <f>"Previous 5 Years Benchmark"</f>
        <v>Previous 5 Years Benchmark</v>
      </c>
      <c r="I2" s="62" t="str">
        <f>"Previous 10 Years Gross Return"</f>
        <v>Previous 10 Years Gross Return</v>
      </c>
      <c r="J2" s="62" t="str">
        <f>"Previous 10 Years Benchmark"</f>
        <v>Previous 10 Years Benchmark</v>
      </c>
    </row>
    <row r="3" spans="1:15" x14ac:dyDescent="0.2">
      <c r="A3" t="str">
        <f>"Indiana Public Employees' Retirement Fund"</f>
        <v>Indiana Public Employees' Retirement Fund</v>
      </c>
      <c r="B3" t="str">
        <f>""</f>
        <v/>
      </c>
      <c r="C3" s="58">
        <v>2.7945000000000002</v>
      </c>
      <c r="E3" s="58">
        <v>0.5554</v>
      </c>
      <c r="G3" s="58">
        <v>0.32050000000000001</v>
      </c>
      <c r="I3" s="58">
        <v>1.0545</v>
      </c>
    </row>
    <row r="4" spans="1:15" x14ac:dyDescent="0.2">
      <c r="A4" t="str">
        <f>"Indiana Public Employees' Retirement Fund"</f>
        <v>Indiana Public Employees' Retirement Fund</v>
      </c>
      <c r="B4" t="str">
        <f>"Russell 2500 (Benchmark)"</f>
        <v>Russell 2500 (Benchmark)</v>
      </c>
      <c r="D4" s="58">
        <v>2.4028999999999998</v>
      </c>
      <c r="F4" s="58">
        <v>0.34279999999999999</v>
      </c>
      <c r="H4" s="58">
        <v>0.27510000000000001</v>
      </c>
      <c r="J4" s="58">
        <v>1.2349000000000001</v>
      </c>
      <c r="O4" s="58"/>
    </row>
    <row r="5" spans="1:15" x14ac:dyDescent="0.2">
      <c r="O5" s="58"/>
    </row>
    <row r="6" spans="1:15" s="59" customFormat="1" ht="63.75" x14ac:dyDescent="0.2">
      <c r="A6" s="62" t="str">
        <f>"Account Name"</f>
        <v>Account Name</v>
      </c>
      <c r="B6" s="62" t="str">
        <f>"Benchmark Name"</f>
        <v>Benchmark Name</v>
      </c>
      <c r="C6" s="62" t="str">
        <f>"Previous Month Gross Return"</f>
        <v>Previous Month Gross Return</v>
      </c>
      <c r="D6" s="62" t="str">
        <f>"Previous Month Benchmark"</f>
        <v>Previous Month Benchmark</v>
      </c>
      <c r="E6" s="62" t="str">
        <f>"Prior Quarter Gross Return"</f>
        <v>Prior Quarter Gross Return</v>
      </c>
      <c r="F6" s="62" t="str">
        <f>"Prior Quarter Benchmark"</f>
        <v>Prior Quarter Benchmark</v>
      </c>
      <c r="G6" s="62" t="str">
        <f>"Previous 12 Months Gross Return"</f>
        <v>Previous 12 Months Gross Return</v>
      </c>
      <c r="H6" s="62" t="str">
        <f>"Previous 12 Months Benchmark"</f>
        <v>Previous 12 Months Benchmark</v>
      </c>
      <c r="I6" s="62" t="str">
        <f>"Previous 2 Years Gross Return"</f>
        <v>Previous 2 Years Gross Return</v>
      </c>
      <c r="J6" s="62" t="str">
        <f>"Previous 2 Years Benchmark"</f>
        <v>Previous 2 Years Benchmark</v>
      </c>
      <c r="K6" s="62" t="str">
        <f>"Previous 3 Years Gross Return"</f>
        <v>Previous 3 Years Gross Return</v>
      </c>
      <c r="L6" s="62" t="str">
        <f>"Previous 3 Years Benchmark"</f>
        <v>Previous 3 Years Benchmark</v>
      </c>
      <c r="M6" s="62" t="str">
        <f>"Previous 5 Years Gross Return"</f>
        <v>Previous 5 Years Gross Return</v>
      </c>
      <c r="N6" s="62" t="str">
        <f>"Previous 5 Years Benchmark"</f>
        <v>Previous 5 Years Benchmark</v>
      </c>
      <c r="O6" s="61"/>
    </row>
    <row r="7" spans="1:15" x14ac:dyDescent="0.2">
      <c r="A7" t="str">
        <f>"Indiana Public Employees' Retirement Fund"</f>
        <v>Indiana Public Employees' Retirement Fund</v>
      </c>
      <c r="B7" t="str">
        <f>""</f>
        <v/>
      </c>
      <c r="C7" s="58">
        <v>-2.1999999999999999E-2</v>
      </c>
      <c r="E7" s="58">
        <v>7.3400000000000007E-2</v>
      </c>
      <c r="G7" s="58">
        <v>1.8200000000000001E-2</v>
      </c>
      <c r="I7" s="58">
        <v>-4.0000000000000002E-4</v>
      </c>
      <c r="K7" s="58">
        <v>0.15870000000000001</v>
      </c>
      <c r="M7" s="58">
        <v>5.7200000000000001E-2</v>
      </c>
      <c r="O7" s="58"/>
    </row>
    <row r="8" spans="1:15" x14ac:dyDescent="0.2">
      <c r="A8" t="str">
        <f>"Indiana Public Employees' Retirement Fund"</f>
        <v>Indiana Public Employees' Retirement Fund</v>
      </c>
      <c r="B8" t="str">
        <f>"Russell 2500 (Benchmark)"</f>
        <v>Russell 2500 (Benchmark)</v>
      </c>
      <c r="D8" s="58">
        <v>-1.7500000000000002E-2</v>
      </c>
      <c r="F8" s="58">
        <v>3.4099999999999998E-2</v>
      </c>
      <c r="H8" s="58">
        <v>-5.3100000000000001E-2</v>
      </c>
      <c r="J8" s="58">
        <v>-8.5199999999999998E-2</v>
      </c>
      <c r="L8" s="58">
        <v>0.1033</v>
      </c>
      <c r="N8" s="58">
        <v>4.9799999999999997E-2</v>
      </c>
      <c r="O8" s="58"/>
    </row>
    <row r="9" spans="1:15" x14ac:dyDescent="0.2">
      <c r="A9" t="str">
        <f>""</f>
        <v/>
      </c>
      <c r="B9" t="str">
        <f>""</f>
        <v/>
      </c>
      <c r="C9" t="str">
        <f>""</f>
        <v/>
      </c>
      <c r="D9" t="str">
        <f>""</f>
        <v/>
      </c>
      <c r="E9" t="str">
        <f>""</f>
        <v/>
      </c>
      <c r="F9" t="str">
        <f>""</f>
        <v/>
      </c>
      <c r="G9" t="str">
        <f>""</f>
        <v/>
      </c>
      <c r="H9" t="str">
        <f>""</f>
        <v/>
      </c>
      <c r="I9" t="str">
        <f>""</f>
        <v/>
      </c>
      <c r="J9" t="str">
        <f>""</f>
        <v/>
      </c>
      <c r="K9" t="str">
        <f>""</f>
        <v/>
      </c>
      <c r="L9" t="str">
        <f>""</f>
        <v/>
      </c>
      <c r="M9" t="str">
        <f>""</f>
        <v/>
      </c>
      <c r="N9" t="str">
        <f>""</f>
        <v/>
      </c>
      <c r="O9" t="str">
        <f>""</f>
        <v/>
      </c>
    </row>
    <row r="10" spans="1:15" ht="15" x14ac:dyDescent="0.25">
      <c r="D10" s="60" t="s">
        <v>67</v>
      </c>
    </row>
    <row r="11" spans="1:15" s="59" customFormat="1" x14ac:dyDescent="0.2"/>
    <row r="12" spans="1:15" s="59" customFormat="1" ht="63.75" x14ac:dyDescent="0.2">
      <c r="A12" t="str">
        <f>"Data For"</f>
        <v>Data For</v>
      </c>
      <c r="B12" t="str">
        <f>"Benchmark Name"</f>
        <v>Benchmark Name</v>
      </c>
      <c r="C12" s="62" t="str">
        <f>"8/22/2008 to 5/31/2023 Net Return"</f>
        <v>8/22/2008 to 5/31/2023 Net Return</v>
      </c>
      <c r="D12" s="62" t="str">
        <f>"8/22/2008 to 5/31/2023 Benchmark"</f>
        <v>8/22/2008 to 5/31/2023 Benchmark</v>
      </c>
      <c r="E12" s="62" t="str">
        <f>"Previous 3 Years Net Return"</f>
        <v>Previous 3 Years Net Return</v>
      </c>
      <c r="F12" s="62" t="str">
        <f>"Previous 3 Years Benchmark"</f>
        <v>Previous 3 Years Benchmark</v>
      </c>
      <c r="G12" s="62" t="str">
        <f>"Previous 5 Years Net Return"</f>
        <v>Previous 5 Years Net Return</v>
      </c>
      <c r="H12" s="62" t="str">
        <f>"Previous 5 Years Benchmark"</f>
        <v>Previous 5 Years Benchmark</v>
      </c>
      <c r="I12" s="62" t="str">
        <f>"Previous 10 Years Net Return"</f>
        <v>Previous 10 Years Net Return</v>
      </c>
      <c r="J12" s="62" t="str">
        <f>"Previous 10 Years Benchmark"</f>
        <v>Previous 10 Years Benchmark</v>
      </c>
    </row>
    <row r="13" spans="1:15" x14ac:dyDescent="0.2">
      <c r="A13" t="s">
        <v>65</v>
      </c>
      <c r="B13" t="str">
        <f>""</f>
        <v/>
      </c>
      <c r="C13" s="58">
        <v>2.5792999999999999</v>
      </c>
      <c r="E13" s="58">
        <v>0.53939999999999999</v>
      </c>
      <c r="G13" s="58">
        <v>0.30030000000000001</v>
      </c>
      <c r="I13" s="58">
        <v>0.96450000000000002</v>
      </c>
      <c r="K13" s="58"/>
      <c r="M13" s="58"/>
      <c r="O13" s="58"/>
    </row>
    <row r="14" spans="1:15" x14ac:dyDescent="0.2">
      <c r="A14" t="s">
        <v>65</v>
      </c>
      <c r="B14" t="str">
        <f>"Russell 2500 (Benchmark)"</f>
        <v>Russell 2500 (Benchmark)</v>
      </c>
      <c r="D14" s="58">
        <v>2.4028999999999998</v>
      </c>
      <c r="F14" s="58">
        <v>0.34279999999999999</v>
      </c>
      <c r="H14" s="58">
        <v>0.27510000000000001</v>
      </c>
      <c r="J14" s="58">
        <v>1.2349000000000001</v>
      </c>
      <c r="L14" s="58"/>
      <c r="N14" s="58"/>
    </row>
    <row r="16" spans="1:15" ht="63.75" x14ac:dyDescent="0.2">
      <c r="A16" s="62" t="str">
        <f>"Account Name"</f>
        <v>Account Name</v>
      </c>
      <c r="B16" s="62" t="str">
        <f>"Benchmark Name"</f>
        <v>Benchmark Name</v>
      </c>
      <c r="C16" s="62" t="str">
        <f>"Previous Month Net Return"</f>
        <v>Previous Month Net Return</v>
      </c>
      <c r="D16" s="62" t="str">
        <f>"Previous Month Benchmark"</f>
        <v>Previous Month Benchmark</v>
      </c>
      <c r="E16" s="62" t="str">
        <f>"Prior Quarter Net Return"</f>
        <v>Prior Quarter Net Return</v>
      </c>
      <c r="F16" s="62" t="str">
        <f>"Prior Quarter Benchmark"</f>
        <v>Prior Quarter Benchmark</v>
      </c>
      <c r="G16" s="62" t="str">
        <f>"Previous 12 Months Net Return"</f>
        <v>Previous 12 Months Net Return</v>
      </c>
      <c r="H16" s="62" t="str">
        <f>"Previous 12 Months Benchmark"</f>
        <v>Previous 12 Months Benchmark</v>
      </c>
      <c r="I16" s="62" t="str">
        <f>"Previous 2 Years Net Return"</f>
        <v>Previous 2 Years Net Return</v>
      </c>
      <c r="J16" s="62" t="str">
        <f>"Previous 2 Years Benchmark"</f>
        <v>Previous 2 Years Benchmark</v>
      </c>
      <c r="K16" s="62" t="str">
        <f>"Previous 3 Years Net Return"</f>
        <v>Previous 3 Years Net Return</v>
      </c>
      <c r="L16" s="62" t="str">
        <f>"Previous 3 Years Benchmark"</f>
        <v>Previous 3 Years Benchmark</v>
      </c>
      <c r="M16" s="62" t="str">
        <f>"Previous 5 Years Net Return"</f>
        <v>Previous 5 Years Net Return</v>
      </c>
      <c r="N16" s="62" t="str">
        <f>"Previous 5 Years Benchmark"</f>
        <v>Previous 5 Years Benchmark</v>
      </c>
    </row>
    <row r="17" spans="1:14" s="59" customFormat="1" x14ac:dyDescent="0.2">
      <c r="A17" t="str">
        <f>"Indiana Public Employees' Retirement Fund"</f>
        <v>Indiana Public Employees' Retirement Fund</v>
      </c>
      <c r="B17" t="str">
        <f>""</f>
        <v/>
      </c>
      <c r="C17" s="58">
        <v>-2.1999999999999999E-2</v>
      </c>
      <c r="D17"/>
      <c r="E17" s="58">
        <v>7.2599999999999998E-2</v>
      </c>
      <c r="F17"/>
      <c r="G17" s="58">
        <v>1.4800000000000001E-2</v>
      </c>
      <c r="H17"/>
      <c r="I17" s="58">
        <v>-4.1999999999999997E-3</v>
      </c>
      <c r="J17"/>
      <c r="K17" s="58">
        <v>0.15479999999999999</v>
      </c>
      <c r="L17"/>
      <c r="M17" s="58">
        <v>5.3900000000000003E-2</v>
      </c>
      <c r="N17"/>
    </row>
    <row r="18" spans="1:14" x14ac:dyDescent="0.2">
      <c r="A18" t="str">
        <f>"Indiana Public Employees' Retirement Fund"</f>
        <v>Indiana Public Employees' Retirement Fund</v>
      </c>
      <c r="B18" t="str">
        <f>"Russell 2500 (Benchmark)"</f>
        <v>Russell 2500 (Benchmark)</v>
      </c>
      <c r="D18" s="58">
        <v>-1.7500000000000002E-2</v>
      </c>
      <c r="F18" s="58">
        <v>3.4099999999999998E-2</v>
      </c>
      <c r="H18" s="58">
        <v>-5.3100000000000001E-2</v>
      </c>
      <c r="J18" s="58">
        <v>-8.5199999999999998E-2</v>
      </c>
      <c r="L18" s="58">
        <v>0.1033</v>
      </c>
      <c r="N18" s="58">
        <v>4.9799999999999997E-2</v>
      </c>
    </row>
    <row r="19" spans="1:14" x14ac:dyDescent="0.2">
      <c r="D19" s="58"/>
      <c r="F19" s="58"/>
      <c r="H19" s="58"/>
      <c r="J19" s="5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85139-9AA6-42DD-A587-4B6358EDC83B}">
  <dimension ref="A1:K16"/>
  <sheetViews>
    <sheetView workbookViewId="0">
      <selection activeCell="B24" sqref="B24"/>
    </sheetView>
  </sheetViews>
  <sheetFormatPr defaultRowHeight="12.75" x14ac:dyDescent="0.2"/>
  <cols>
    <col min="1" max="1" width="10" bestFit="1" customWidth="1"/>
    <col min="2" max="2" width="37.28515625" bestFit="1" customWidth="1"/>
    <col min="3" max="3" width="36.85546875" bestFit="1" customWidth="1"/>
    <col min="4" max="4" width="7.7109375" bestFit="1" customWidth="1"/>
    <col min="6" max="6" width="11.7109375" bestFit="1" customWidth="1"/>
    <col min="7" max="7" width="11.28515625" bestFit="1" customWidth="1"/>
    <col min="8" max="8" width="10.28515625" bestFit="1" customWidth="1"/>
    <col min="9" max="9" width="8.140625" bestFit="1" customWidth="1"/>
  </cols>
  <sheetData>
    <row r="1" spans="1:11" x14ac:dyDescent="0.2">
      <c r="A1" t="str">
        <f>"Data For"</f>
        <v>Data For</v>
      </c>
      <c r="B1" t="str">
        <f>"Trade Date"</f>
        <v>Trade Date</v>
      </c>
      <c r="C1" t="str">
        <f>"Activity"</f>
        <v>Activity</v>
      </c>
      <c r="D1" t="str">
        <f>"Description"</f>
        <v>Description</v>
      </c>
      <c r="E1" t="str">
        <f>"Symbol"</f>
        <v>Symbol</v>
      </c>
      <c r="F1" t="str">
        <f>"Quantity"</f>
        <v>Quantity</v>
      </c>
      <c r="G1" t="str">
        <f>"Net Amount"</f>
        <v>Net Amount</v>
      </c>
      <c r="H1" t="str">
        <f>"Commission"</f>
        <v>Commission</v>
      </c>
      <c r="I1" t="str">
        <f>"Other Fees"</f>
        <v>Other Fees</v>
      </c>
      <c r="J1" t="str">
        <f>"Broker"</f>
        <v>Broker</v>
      </c>
      <c r="K1" t="str">
        <f>"Notes"</f>
        <v>Notes</v>
      </c>
    </row>
    <row r="2" spans="1:11" x14ac:dyDescent="0.2">
      <c r="A2" t="s">
        <v>65</v>
      </c>
      <c r="B2" s="1">
        <v>45077</v>
      </c>
      <c r="C2" t="str">
        <f>"Income (Dividend)"</f>
        <v>Income (Dividend)</v>
      </c>
      <c r="D2" t="str">
        <f>"Innospec Inc"</f>
        <v>Innospec Inc</v>
      </c>
      <c r="E2" t="str">
        <f>"IOSP"</f>
        <v>IOSP</v>
      </c>
      <c r="F2" t="str">
        <f>""</f>
        <v/>
      </c>
      <c r="G2" s="2">
        <v>3219.54</v>
      </c>
      <c r="H2" t="str">
        <f>""</f>
        <v/>
      </c>
      <c r="I2" t="str">
        <f>""</f>
        <v/>
      </c>
      <c r="J2" t="str">
        <f>""</f>
        <v/>
      </c>
      <c r="K2" t="str">
        <f>""</f>
        <v/>
      </c>
    </row>
    <row r="3" spans="1:11" x14ac:dyDescent="0.2">
      <c r="A3" t="s">
        <v>65</v>
      </c>
      <c r="B3" s="1">
        <v>45070</v>
      </c>
      <c r="C3" t="str">
        <f>"Sell"</f>
        <v>Sell</v>
      </c>
      <c r="D3" t="str">
        <f>"Alphabet Inc"</f>
        <v>Alphabet Inc</v>
      </c>
      <c r="E3" t="str">
        <f>"GOOGL"</f>
        <v>GOOGL</v>
      </c>
      <c r="F3" s="2">
        <v>1080</v>
      </c>
      <c r="G3" s="2">
        <v>130741.7</v>
      </c>
      <c r="H3">
        <v>43.2</v>
      </c>
      <c r="I3">
        <v>1.05</v>
      </c>
      <c r="J3" t="str">
        <f>"COWEN"</f>
        <v>COWEN</v>
      </c>
      <c r="K3" t="str">
        <f>""</f>
        <v/>
      </c>
    </row>
    <row r="4" spans="1:11" x14ac:dyDescent="0.2">
      <c r="A4" t="s">
        <v>65</v>
      </c>
      <c r="B4" s="1">
        <v>45061</v>
      </c>
      <c r="C4" t="str">
        <f>"Income (Dividend)"</f>
        <v>Income (Dividend)</v>
      </c>
      <c r="D4" t="str">
        <f>"Aon PLC"</f>
        <v>Aon PLC</v>
      </c>
      <c r="E4" t="str">
        <f>"AON"</f>
        <v>AON</v>
      </c>
      <c r="F4" t="str">
        <f>""</f>
        <v/>
      </c>
      <c r="G4" s="2">
        <v>1258.9100000000001</v>
      </c>
      <c r="H4" t="str">
        <f>""</f>
        <v/>
      </c>
      <c r="I4" t="str">
        <f>""</f>
        <v/>
      </c>
      <c r="J4" t="str">
        <f>""</f>
        <v/>
      </c>
      <c r="K4" t="str">
        <f>""</f>
        <v/>
      </c>
    </row>
    <row r="5" spans="1:11" x14ac:dyDescent="0.2">
      <c r="A5" t="s">
        <v>65</v>
      </c>
      <c r="B5" s="1">
        <v>45055</v>
      </c>
      <c r="C5" t="str">
        <f>"Buy"</f>
        <v>Buy</v>
      </c>
      <c r="D5" t="str">
        <f>"Alight Inc"</f>
        <v>Alight Inc</v>
      </c>
      <c r="E5" t="str">
        <f>"ALIT"</f>
        <v>ALIT</v>
      </c>
      <c r="F5" s="2">
        <v>11185</v>
      </c>
      <c r="G5" s="2">
        <v>94755.96</v>
      </c>
      <c r="H5">
        <v>223.7</v>
      </c>
      <c r="I5">
        <v>0</v>
      </c>
      <c r="J5" t="str">
        <f>"COWEN"</f>
        <v>COWEN</v>
      </c>
      <c r="K5" t="str">
        <f>""</f>
        <v/>
      </c>
    </row>
    <row r="6" spans="1:11" x14ac:dyDescent="0.2">
      <c r="A6" t="s">
        <v>65</v>
      </c>
      <c r="B6" s="1">
        <v>45047</v>
      </c>
      <c r="C6" t="str">
        <f>"Income (Reinvested Interest)"</f>
        <v>Income (Reinvested Interest)</v>
      </c>
      <c r="D6" t="str">
        <f>"Cash"</f>
        <v>Cash</v>
      </c>
      <c r="E6" t="str">
        <f>"CASH"</f>
        <v>CASH</v>
      </c>
      <c r="F6">
        <v>0.05</v>
      </c>
      <c r="G6">
        <v>0.05</v>
      </c>
      <c r="H6" t="str">
        <f>""</f>
        <v/>
      </c>
      <c r="I6" t="str">
        <f>""</f>
        <v/>
      </c>
      <c r="J6" t="str">
        <f>""</f>
        <v/>
      </c>
      <c r="K6" t="str">
        <f>""</f>
        <v/>
      </c>
    </row>
    <row r="7" spans="1:11" x14ac:dyDescent="0.2">
      <c r="A7" t="s">
        <v>65</v>
      </c>
      <c r="B7" s="1">
        <v>45047</v>
      </c>
      <c r="C7" t="str">
        <f>"Income (Reinvested Interest)"</f>
        <v>Income (Reinvested Interest)</v>
      </c>
      <c r="D7" t="str">
        <f>"Cash"</f>
        <v>Cash</v>
      </c>
      <c r="E7" t="str">
        <f>"CASH"</f>
        <v>CASH</v>
      </c>
      <c r="F7" s="2">
        <v>3113.75</v>
      </c>
      <c r="G7" s="2">
        <v>3113.75</v>
      </c>
      <c r="H7" t="str">
        <f>""</f>
        <v/>
      </c>
      <c r="I7" t="str">
        <f>""</f>
        <v/>
      </c>
      <c r="J7" t="str">
        <f>""</f>
        <v/>
      </c>
      <c r="K7" t="str">
        <f>""</f>
        <v/>
      </c>
    </row>
    <row r="8" spans="1:11" x14ac:dyDescent="0.2">
      <c r="A8" s="1"/>
    </row>
    <row r="9" spans="1:11" x14ac:dyDescent="0.2">
      <c r="A9" s="1"/>
      <c r="F9" s="2"/>
    </row>
    <row r="10" spans="1:11" x14ac:dyDescent="0.2">
      <c r="A10" s="1"/>
      <c r="F10" s="2"/>
    </row>
    <row r="11" spans="1:11" x14ac:dyDescent="0.2">
      <c r="A11" t="str">
        <f>"Data For"</f>
        <v>Data For</v>
      </c>
      <c r="B11" t="str">
        <f>"Trade Date"</f>
        <v>Trade Date</v>
      </c>
      <c r="C11" t="str">
        <f>"Activity"</f>
        <v>Activity</v>
      </c>
      <c r="D11" t="str">
        <f>"Description"</f>
        <v>Description</v>
      </c>
      <c r="E11" t="str">
        <f>"Symbol"</f>
        <v>Symbol</v>
      </c>
      <c r="F11" t="str">
        <f>"Quantity"</f>
        <v>Quantity</v>
      </c>
      <c r="G11" t="str">
        <f>"Net Amount"</f>
        <v>Net Amount</v>
      </c>
      <c r="H11" t="str">
        <f>"Commission"</f>
        <v>Commission</v>
      </c>
      <c r="I11" t="str">
        <f>"Other Fees"</f>
        <v>Other Fees</v>
      </c>
      <c r="J11" t="str">
        <f>"Broker"</f>
        <v>Broker</v>
      </c>
      <c r="K11" t="str">
        <f>"Notes"</f>
        <v>Notes</v>
      </c>
    </row>
    <row r="12" spans="1:11" x14ac:dyDescent="0.2">
      <c r="A12" t="s">
        <v>65</v>
      </c>
      <c r="B12" s="1">
        <v>45070</v>
      </c>
      <c r="C12" t="str">
        <f>"Sell"</f>
        <v>Sell</v>
      </c>
      <c r="D12" t="str">
        <f>"Alphabet Inc"</f>
        <v>Alphabet Inc</v>
      </c>
      <c r="E12" t="str">
        <f>"GOOGL"</f>
        <v>GOOGL</v>
      </c>
      <c r="F12" s="2">
        <v>1080</v>
      </c>
      <c r="G12" s="2">
        <v>130741.7</v>
      </c>
      <c r="H12">
        <v>43.2</v>
      </c>
      <c r="I12">
        <v>1.05</v>
      </c>
      <c r="J12" t="str">
        <f>"COWEN"</f>
        <v>COWEN</v>
      </c>
      <c r="K12" t="str">
        <f>""</f>
        <v/>
      </c>
    </row>
    <row r="13" spans="1:11" x14ac:dyDescent="0.2">
      <c r="A13" t="s">
        <v>65</v>
      </c>
      <c r="B13" s="1">
        <v>45055</v>
      </c>
      <c r="C13" t="str">
        <f>"Buy"</f>
        <v>Buy</v>
      </c>
      <c r="D13" t="str">
        <f>"Alight Inc"</f>
        <v>Alight Inc</v>
      </c>
      <c r="E13" t="str">
        <f>"ALIT"</f>
        <v>ALIT</v>
      </c>
      <c r="F13" s="2">
        <v>11185</v>
      </c>
      <c r="G13" s="2">
        <v>94755.96</v>
      </c>
      <c r="H13">
        <v>223.7</v>
      </c>
      <c r="I13">
        <v>0</v>
      </c>
      <c r="J13" t="str">
        <f>"COWEN"</f>
        <v>COWEN</v>
      </c>
      <c r="K13" t="str">
        <f>""</f>
        <v/>
      </c>
    </row>
    <row r="14" spans="1:11" x14ac:dyDescent="0.2">
      <c r="A14" s="1"/>
      <c r="F14" s="2"/>
    </row>
    <row r="15" spans="1:11" x14ac:dyDescent="0.2">
      <c r="A15" s="1"/>
      <c r="E15" s="2"/>
      <c r="F15" s="2"/>
    </row>
    <row r="16" spans="1:11" x14ac:dyDescent="0.2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18F07-9CF2-496E-9D3F-66B81C6903F5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23D84-F4FB-4B45-8EC9-7D99E3822F71}">
  <dimension ref="A1"/>
  <sheetViews>
    <sheetView topLeftCell="A7" workbookViewId="0">
      <selection activeCell="R11" sqref="R11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Portfolio Appraisal</vt:lpstr>
      <vt:lpstr>Performance</vt:lpstr>
      <vt:lpstr>Transactions</vt:lpstr>
      <vt:lpstr>Contributions&amp;Withdrawals</vt:lpstr>
      <vt:lpstr>Commissions</vt:lpstr>
      <vt:lpstr>Sheet1</vt:lpstr>
      <vt:lpstr>Sheet2</vt:lpstr>
      <vt:lpstr>Sheet3</vt:lpstr>
      <vt:lpstr>Sheet4</vt:lpstr>
      <vt:lpstr>Sheet5</vt:lpstr>
      <vt:lpstr>Commissions!Print_Area</vt:lpstr>
      <vt:lpstr>Performance!Print_Area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</dc:creator>
  <cp:lastModifiedBy>Lillie</cp:lastModifiedBy>
  <cp:lastPrinted>2023-02-14T19:25:14Z</cp:lastPrinted>
  <dcterms:created xsi:type="dcterms:W3CDTF">2008-09-11T18:32:18Z</dcterms:created>
  <dcterms:modified xsi:type="dcterms:W3CDTF">2023-06-08T16:08:56Z</dcterms:modified>
</cp:coreProperties>
</file>