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lotusdat\database-general\database 2023\Q1\"/>
    </mc:Choice>
  </mc:AlternateContent>
  <xr:revisionPtr revIDLastSave="0" documentId="13_ncr:1_{4650EEEF-769C-4724-98E4-BDBC81E7F1E1}" xr6:coauthVersionLast="47" xr6:coauthVersionMax="47" xr10:uidLastSave="{00000000-0000-0000-0000-000000000000}"/>
  <bookViews>
    <workbookView xWindow="-120" yWindow="-120" windowWidth="29040" windowHeight="15840" tabRatio="689" xr2:uid="{00000000-000D-0000-FFFF-FFFF00000000}"/>
  </bookViews>
  <sheets>
    <sheet name="Portfolio Appraisal" sheetId="1" r:id="rId1"/>
    <sheet name="Performance" sheetId="4" r:id="rId2"/>
    <sheet name="Transactions" sheetId="3" r:id="rId3"/>
    <sheet name="Contributions&amp;Withdrawals" sheetId="5" r:id="rId4"/>
    <sheet name="Commissions" sheetId="2" r:id="rId5"/>
    <sheet name="Sheet1" sheetId="6" r:id="rId6"/>
    <sheet name="Sheet2" sheetId="8" r:id="rId7"/>
    <sheet name="Sheet3" sheetId="7" r:id="rId8"/>
  </sheets>
  <definedNames>
    <definedName name="_xlnm.Print_Area" localSheetId="4">Commissions!$A$1:$G$16</definedName>
    <definedName name="_xlnm.Print_Area" localSheetId="1">Performance!$A$1:$H$9</definedName>
  </definedNames>
  <calcPr calcId="191029"/>
</workbook>
</file>

<file path=xl/calcChain.xml><?xml version="1.0" encoding="utf-8"?>
<calcChain xmlns="http://schemas.openxmlformats.org/spreadsheetml/2006/main">
  <c r="E12" i="2" l="1"/>
  <c r="E13" i="2"/>
  <c r="A10" i="3"/>
  <c r="A9" i="3"/>
  <c r="I3" i="7"/>
  <c r="H3" i="7"/>
  <c r="G3" i="7"/>
  <c r="D3" i="7"/>
  <c r="C3" i="7"/>
  <c r="B3" i="7"/>
  <c r="I2" i="7"/>
  <c r="H2" i="7"/>
  <c r="G2" i="7"/>
  <c r="D2" i="7"/>
  <c r="C2" i="7"/>
  <c r="B2" i="7"/>
  <c r="I4" i="7"/>
  <c r="D4" i="7"/>
  <c r="C4" i="7"/>
  <c r="B4" i="7"/>
  <c r="I5" i="7"/>
  <c r="H5" i="7"/>
  <c r="G5" i="7"/>
  <c r="E5" i="7"/>
  <c r="D5" i="7"/>
  <c r="C5" i="7"/>
  <c r="B5" i="7"/>
  <c r="I6" i="7"/>
  <c r="D6" i="7"/>
  <c r="C6" i="7"/>
  <c r="B6" i="7"/>
  <c r="I1" i="7"/>
  <c r="H1" i="7"/>
  <c r="G1" i="7"/>
  <c r="F1" i="7"/>
  <c r="E1" i="7"/>
  <c r="D1" i="7"/>
  <c r="C1" i="7"/>
  <c r="B1" i="7"/>
  <c r="A1" i="7"/>
  <c r="M53" i="6"/>
  <c r="I53" i="6"/>
  <c r="H53" i="6"/>
  <c r="F53" i="6"/>
  <c r="E53" i="6"/>
  <c r="D53" i="6"/>
  <c r="C53" i="6"/>
  <c r="M52" i="6"/>
  <c r="I52" i="6"/>
  <c r="H52" i="6"/>
  <c r="F52" i="6"/>
  <c r="E52" i="6"/>
  <c r="D52" i="6"/>
  <c r="C52" i="6"/>
  <c r="M51" i="6"/>
  <c r="I51" i="6"/>
  <c r="H51" i="6"/>
  <c r="F51" i="6"/>
  <c r="E51" i="6"/>
  <c r="D51" i="6"/>
  <c r="C51" i="6"/>
  <c r="M50" i="6"/>
  <c r="I50" i="6"/>
  <c r="H50" i="6"/>
  <c r="F50" i="6"/>
  <c r="E50" i="6"/>
  <c r="D50" i="6"/>
  <c r="C50" i="6"/>
  <c r="M49" i="6"/>
  <c r="I49" i="6"/>
  <c r="H49" i="6"/>
  <c r="F49" i="6"/>
  <c r="E49" i="6"/>
  <c r="D49" i="6"/>
  <c r="C49" i="6"/>
  <c r="M48" i="6"/>
  <c r="F48" i="6"/>
  <c r="E48" i="6"/>
  <c r="D48" i="6"/>
  <c r="C48" i="6"/>
  <c r="F47" i="6"/>
  <c r="E47" i="6"/>
  <c r="D47" i="6"/>
  <c r="C47" i="6"/>
  <c r="M46" i="6"/>
  <c r="F46" i="6"/>
  <c r="E46" i="6"/>
  <c r="D46" i="6"/>
  <c r="C46" i="6"/>
  <c r="M45" i="6"/>
  <c r="F45" i="6"/>
  <c r="E45" i="6"/>
  <c r="D45" i="6"/>
  <c r="C45" i="6"/>
  <c r="F44" i="6"/>
  <c r="E44" i="6"/>
  <c r="D44" i="6"/>
  <c r="C44" i="6"/>
  <c r="M43" i="6"/>
  <c r="F43" i="6"/>
  <c r="E43" i="6"/>
  <c r="D43" i="6"/>
  <c r="C43" i="6"/>
  <c r="M42" i="6"/>
  <c r="F42" i="6"/>
  <c r="E42" i="6"/>
  <c r="D42" i="6"/>
  <c r="C42" i="6"/>
  <c r="F41" i="6"/>
  <c r="E41" i="6"/>
  <c r="D41" i="6"/>
  <c r="C41" i="6"/>
  <c r="M40" i="6"/>
  <c r="F40" i="6"/>
  <c r="E40" i="6"/>
  <c r="D40" i="6"/>
  <c r="C40" i="6"/>
  <c r="M39" i="6"/>
  <c r="F39" i="6"/>
  <c r="E39" i="6"/>
  <c r="D39" i="6"/>
  <c r="C39" i="6"/>
  <c r="M38" i="6"/>
  <c r="F38" i="6"/>
  <c r="E38" i="6"/>
  <c r="D38" i="6"/>
  <c r="C38" i="6"/>
  <c r="M37" i="6"/>
  <c r="F37" i="6"/>
  <c r="E37" i="6"/>
  <c r="D37" i="6"/>
  <c r="C37" i="6"/>
  <c r="M36" i="6"/>
  <c r="F36" i="6"/>
  <c r="E36" i="6"/>
  <c r="D36" i="6"/>
  <c r="C36" i="6"/>
  <c r="M35" i="6"/>
  <c r="F35" i="6"/>
  <c r="E35" i="6"/>
  <c r="D35" i="6"/>
  <c r="C35" i="6"/>
  <c r="M34" i="6"/>
  <c r="F34" i="6"/>
  <c r="E34" i="6"/>
  <c r="D34" i="6"/>
  <c r="C34" i="6"/>
  <c r="M33" i="6"/>
  <c r="F33" i="6"/>
  <c r="E33" i="6"/>
  <c r="D33" i="6"/>
  <c r="C33" i="6"/>
  <c r="M32" i="6"/>
  <c r="F32" i="6"/>
  <c r="E32" i="6"/>
  <c r="D32" i="6"/>
  <c r="C32" i="6"/>
  <c r="M31" i="6"/>
  <c r="F31" i="6"/>
  <c r="E31" i="6"/>
  <c r="D31" i="6"/>
  <c r="C31" i="6"/>
  <c r="M30" i="6"/>
  <c r="F30" i="6"/>
  <c r="E30" i="6"/>
  <c r="D30" i="6"/>
  <c r="C30" i="6"/>
  <c r="M29" i="6"/>
  <c r="F29" i="6"/>
  <c r="E29" i="6"/>
  <c r="D29" i="6"/>
  <c r="C29" i="6"/>
  <c r="M28" i="6"/>
  <c r="F28" i="6"/>
  <c r="E28" i="6"/>
  <c r="D28" i="6"/>
  <c r="C28" i="6"/>
  <c r="M27" i="6"/>
  <c r="F27" i="6"/>
  <c r="E27" i="6"/>
  <c r="D27" i="6"/>
  <c r="C27" i="6"/>
  <c r="M26" i="6"/>
  <c r="F26" i="6"/>
  <c r="E26" i="6"/>
  <c r="D26" i="6"/>
  <c r="C26" i="6"/>
  <c r="M25" i="6"/>
  <c r="F25" i="6"/>
  <c r="E25" i="6"/>
  <c r="D25" i="6"/>
  <c r="C25" i="6"/>
  <c r="M24" i="6"/>
  <c r="F24" i="6"/>
  <c r="E24" i="6"/>
  <c r="D24" i="6"/>
  <c r="C24" i="6"/>
  <c r="M23" i="6"/>
  <c r="F23" i="6"/>
  <c r="E23" i="6"/>
  <c r="D23" i="6"/>
  <c r="C23" i="6"/>
  <c r="M22" i="6"/>
  <c r="F22" i="6"/>
  <c r="E22" i="6"/>
  <c r="D22" i="6"/>
  <c r="C22" i="6"/>
  <c r="M21" i="6"/>
  <c r="F21" i="6"/>
  <c r="E21" i="6"/>
  <c r="D21" i="6"/>
  <c r="C21" i="6"/>
  <c r="F20" i="6"/>
  <c r="E20" i="6"/>
  <c r="D20" i="6"/>
  <c r="C20" i="6"/>
  <c r="F19" i="6"/>
  <c r="E19" i="6"/>
  <c r="D19" i="6"/>
  <c r="C19" i="6"/>
  <c r="M18" i="6"/>
  <c r="F18" i="6"/>
  <c r="E18" i="6"/>
  <c r="D18" i="6"/>
  <c r="C18" i="6"/>
  <c r="M17" i="6"/>
  <c r="F17" i="6"/>
  <c r="E17" i="6"/>
  <c r="D17" i="6"/>
  <c r="C17" i="6"/>
  <c r="M16" i="6"/>
  <c r="F16" i="6"/>
  <c r="E16" i="6"/>
  <c r="D16" i="6"/>
  <c r="C16" i="6"/>
  <c r="M15" i="6"/>
  <c r="F15" i="6"/>
  <c r="E15" i="6"/>
  <c r="D15" i="6"/>
  <c r="C15" i="6"/>
  <c r="M14" i="6"/>
  <c r="F14" i="6"/>
  <c r="E14" i="6"/>
  <c r="D14" i="6"/>
  <c r="C14" i="6"/>
  <c r="M13" i="6"/>
  <c r="F13" i="6"/>
  <c r="E13" i="6"/>
  <c r="D13" i="6"/>
  <c r="C13" i="6"/>
  <c r="M12" i="6"/>
  <c r="L12" i="6"/>
  <c r="K12" i="6"/>
  <c r="J12" i="6"/>
  <c r="I12" i="6"/>
  <c r="H12" i="6"/>
  <c r="G12" i="6"/>
  <c r="F12" i="6"/>
  <c r="E12" i="6"/>
  <c r="D12" i="6"/>
  <c r="C12" i="6"/>
  <c r="B12" i="6"/>
  <c r="A12" i="6"/>
  <c r="E17" i="8"/>
  <c r="D17" i="8"/>
  <c r="B17" i="8"/>
  <c r="E16" i="8"/>
  <c r="D16" i="8"/>
  <c r="B16" i="8"/>
  <c r="M15" i="8"/>
  <c r="L15" i="8"/>
  <c r="K15" i="8"/>
  <c r="J15" i="8"/>
  <c r="I15" i="8"/>
  <c r="H15" i="8"/>
  <c r="G15" i="8"/>
  <c r="F15" i="8"/>
  <c r="E15" i="8"/>
  <c r="D15" i="8"/>
  <c r="C15" i="8"/>
  <c r="B15" i="8"/>
  <c r="A15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14" i="8"/>
  <c r="C13" i="8"/>
  <c r="B13" i="8"/>
  <c r="C12" i="8"/>
  <c r="B12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11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9" i="8"/>
  <c r="E8" i="8"/>
  <c r="D8" i="8"/>
  <c r="B8" i="8"/>
  <c r="E7" i="8"/>
  <c r="D7" i="8"/>
  <c r="B7" i="8"/>
  <c r="M6" i="8"/>
  <c r="L6" i="8"/>
  <c r="K6" i="8"/>
  <c r="J6" i="8"/>
  <c r="I6" i="8"/>
  <c r="H6" i="8"/>
  <c r="G6" i="8"/>
  <c r="F6" i="8"/>
  <c r="E6" i="8"/>
  <c r="D6" i="8"/>
  <c r="C6" i="8"/>
  <c r="B6" i="8"/>
  <c r="A6" i="8"/>
  <c r="C4" i="8"/>
  <c r="B4" i="8"/>
  <c r="C3" i="8"/>
  <c r="B3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A2" i="8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7" i="1"/>
  <c r="J49" i="1"/>
  <c r="G49" i="1"/>
  <c r="C49" i="1"/>
  <c r="B49" i="1"/>
  <c r="A49" i="1"/>
  <c r="J47" i="1"/>
  <c r="G47" i="1"/>
  <c r="C47" i="1"/>
  <c r="B47" i="1"/>
  <c r="A47" i="1"/>
  <c r="J45" i="1"/>
  <c r="G45" i="1"/>
  <c r="C45" i="1"/>
  <c r="B45" i="1"/>
  <c r="A45" i="1"/>
  <c r="J43" i="1"/>
  <c r="G43" i="1"/>
  <c r="C43" i="1"/>
  <c r="B43" i="1"/>
  <c r="A43" i="1"/>
  <c r="J42" i="1"/>
  <c r="C42" i="1"/>
  <c r="A42" i="1"/>
  <c r="C41" i="1"/>
  <c r="A41" i="1"/>
  <c r="J40" i="1"/>
  <c r="C40" i="1"/>
  <c r="A40" i="1"/>
  <c r="J39" i="1"/>
  <c r="C39" i="1"/>
  <c r="A39" i="1"/>
  <c r="C38" i="1"/>
  <c r="A38" i="1"/>
  <c r="J37" i="1"/>
  <c r="C37" i="1"/>
  <c r="A37" i="1"/>
  <c r="J36" i="1"/>
  <c r="C36" i="1"/>
  <c r="A36" i="1"/>
  <c r="C35" i="1"/>
  <c r="A35" i="1"/>
  <c r="J34" i="1"/>
  <c r="C34" i="1"/>
  <c r="A34" i="1"/>
  <c r="J33" i="1"/>
  <c r="C33" i="1"/>
  <c r="A33" i="1"/>
  <c r="J32" i="1"/>
  <c r="C32" i="1"/>
  <c r="A32" i="1"/>
  <c r="J31" i="1"/>
  <c r="C31" i="1"/>
  <c r="A31" i="1"/>
  <c r="J30" i="1"/>
  <c r="C30" i="1"/>
  <c r="A30" i="1"/>
  <c r="J29" i="1"/>
  <c r="C29" i="1"/>
  <c r="A29" i="1"/>
  <c r="J28" i="1"/>
  <c r="C28" i="1"/>
  <c r="A28" i="1"/>
  <c r="J27" i="1"/>
  <c r="C27" i="1"/>
  <c r="A27" i="1"/>
  <c r="J26" i="1"/>
  <c r="C26" i="1"/>
  <c r="A26" i="1"/>
  <c r="J25" i="1"/>
  <c r="C25" i="1"/>
  <c r="A25" i="1"/>
  <c r="J24" i="1"/>
  <c r="C24" i="1"/>
  <c r="A24" i="1"/>
  <c r="J23" i="1"/>
  <c r="C23" i="1"/>
  <c r="A23" i="1"/>
  <c r="J22" i="1"/>
  <c r="C22" i="1"/>
  <c r="A22" i="1"/>
  <c r="J21" i="1"/>
  <c r="C21" i="1"/>
  <c r="A21" i="1"/>
  <c r="J20" i="1"/>
  <c r="C20" i="1"/>
  <c r="A20" i="1"/>
  <c r="J19" i="1"/>
  <c r="C19" i="1"/>
  <c r="A19" i="1"/>
  <c r="J18" i="1"/>
  <c r="C18" i="1"/>
  <c r="A18" i="1"/>
  <c r="J17" i="1"/>
  <c r="C17" i="1"/>
  <c r="A17" i="1"/>
  <c r="J16" i="1"/>
  <c r="C16" i="1"/>
  <c r="A16" i="1"/>
  <c r="J15" i="1"/>
  <c r="C15" i="1"/>
  <c r="A15" i="1"/>
  <c r="C14" i="1"/>
  <c r="A14" i="1"/>
  <c r="C13" i="1"/>
  <c r="A13" i="1"/>
  <c r="J12" i="1"/>
  <c r="C12" i="1"/>
  <c r="A12" i="1"/>
  <c r="J11" i="1"/>
  <c r="C11" i="1"/>
  <c r="A11" i="1"/>
  <c r="J10" i="1"/>
  <c r="C10" i="1"/>
  <c r="A10" i="1"/>
  <c r="J9" i="1"/>
  <c r="C9" i="1"/>
  <c r="A9" i="1"/>
  <c r="J8" i="1"/>
  <c r="C8" i="1"/>
  <c r="A8" i="1"/>
  <c r="J7" i="1"/>
  <c r="C7" i="1"/>
  <c r="A7" i="1"/>
  <c r="J9" i="6"/>
  <c r="I9" i="6"/>
  <c r="H9" i="6"/>
  <c r="F9" i="6"/>
  <c r="G9" i="6"/>
  <c r="B9" i="6"/>
  <c r="D9" i="6"/>
  <c r="C9" i="6"/>
  <c r="A9" i="6"/>
  <c r="G16" i="2"/>
  <c r="D12" i="2"/>
  <c r="F12" i="3"/>
  <c r="A6" i="6"/>
  <c r="J6" i="6"/>
  <c r="I6" i="6"/>
  <c r="H6" i="6"/>
  <c r="F6" i="6"/>
  <c r="G6" i="6"/>
  <c r="B6" i="6"/>
  <c r="D6" i="6"/>
  <c r="C6" i="6"/>
  <c r="F16" i="2"/>
  <c r="F11" i="5" l="1"/>
  <c r="B5" i="2"/>
  <c r="F4" i="5"/>
  <c r="D4" i="5"/>
</calcChain>
</file>

<file path=xl/sharedStrings.xml><?xml version="1.0" encoding="utf-8"?>
<sst xmlns="http://schemas.openxmlformats.org/spreadsheetml/2006/main" count="154" uniqueCount="70">
  <si>
    <t>% OF</t>
  </si>
  <si>
    <t>UNIT</t>
  </si>
  <si>
    <t>MARKET</t>
  </si>
  <si>
    <t>UNREALIZED</t>
  </si>
  <si>
    <t>QUANTITY</t>
  </si>
  <si>
    <t>DESCRIPTION</t>
  </si>
  <si>
    <t>ASSETS</t>
  </si>
  <si>
    <t>COST</t>
  </si>
  <si>
    <t>VALUE</t>
  </si>
  <si>
    <t>GAIN(LOSS)</t>
  </si>
  <si>
    <t>______________</t>
  </si>
  <si>
    <t>_____________</t>
  </si>
  <si>
    <t>Indiana PERF</t>
  </si>
  <si>
    <t>Kirr Marbach - Gross</t>
  </si>
  <si>
    <t>Kirr Marbach - Net</t>
  </si>
  <si>
    <t>Quarter</t>
  </si>
  <si>
    <t>One Year</t>
  </si>
  <si>
    <t>Two Years</t>
  </si>
  <si>
    <t>Three Years</t>
  </si>
  <si>
    <t>Five Years</t>
  </si>
  <si>
    <t>Inception to Date*</t>
  </si>
  <si>
    <t>*account started 8/22/2008</t>
  </si>
  <si>
    <t>TRADE</t>
  </si>
  <si>
    <t>DOLLAR</t>
  </si>
  <si>
    <t>DATE</t>
  </si>
  <si>
    <t>AMOUNT</t>
  </si>
  <si>
    <t>TOTAL</t>
  </si>
  <si>
    <t>TRANSACTION</t>
  </si>
  <si>
    <t>_____________________</t>
  </si>
  <si>
    <t>__________________</t>
  </si>
  <si>
    <t>___________</t>
  </si>
  <si>
    <t>_________</t>
  </si>
  <si>
    <t>TRANSACTIONS</t>
  </si>
  <si>
    <t>One Month</t>
  </si>
  <si>
    <t>CONTRIBUTIONS AND WITHDRAWALS</t>
  </si>
  <si>
    <t>LEADING EDGE INVESTMENT ADVISORS, LLC</t>
  </si>
  <si>
    <t>Brokerage / Commission Report</t>
  </si>
  <si>
    <t>Manager Name:</t>
  </si>
  <si>
    <t>Kirr, Marbach &amp; Co LLC</t>
  </si>
  <si>
    <t>For the Period Ending:</t>
  </si>
  <si>
    <t>Length of Period:</t>
  </si>
  <si>
    <t>Total</t>
  </si>
  <si>
    <t>Client Name</t>
  </si>
  <si>
    <t>Executing Broker</t>
  </si>
  <si>
    <t>Commissions</t>
  </si>
  <si>
    <t>Shares</t>
  </si>
  <si>
    <t>TOTAL CLIENT</t>
  </si>
  <si>
    <t>Monthly</t>
  </si>
  <si>
    <t>Date</t>
  </si>
  <si>
    <t>Buy/Sell</t>
  </si>
  <si>
    <t>Ticker</t>
  </si>
  <si>
    <t>INPERF INDIANA PUBLIC EMPLOYEES' RETIREMENT FUND</t>
  </si>
  <si>
    <t>Annualized</t>
  </si>
  <si>
    <t>INPERF</t>
  </si>
  <si>
    <t>SYMBOL</t>
  </si>
  <si>
    <t>Target 100/0</t>
  </si>
  <si>
    <t xml:space="preserve"> UNIT</t>
  </si>
  <si>
    <t>INDIANA PUBLIC EMPLOYEES' RETIREMENT FUND</t>
  </si>
  <si>
    <t>Performance as of:</t>
  </si>
  <si>
    <t>(PR8F)</t>
  </si>
  <si>
    <t>INP</t>
  </si>
  <si>
    <t>Russell 2500</t>
  </si>
  <si>
    <t>None</t>
  </si>
  <si>
    <t>Cowen and Company LLC</t>
  </si>
  <si>
    <t>ACCRUED</t>
  </si>
  <si>
    <t>INCOME</t>
  </si>
  <si>
    <t>Indiana Public Employees' Retirement Fund (955542, Pension)</t>
  </si>
  <si>
    <t>Gross</t>
  </si>
  <si>
    <t>Net</t>
  </si>
  <si>
    <t>Sell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</si>
</sst>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0.0"/>
    <numFmt numFmtId="166" formatCode="mm/dd/yy;@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0" fontId="12" fillId="0" borderId="0"/>
    <xf numFmtId="0" fontId="3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</cellStyleXfs>
  <cellXfs count="65">
    <xf numFmtId="0" fontId="0" fillId="0" borderId="0" xfId="0"/>
    <xf numFmtId="14" fontId="0" fillId="0" borderId="0" xfId="0" applyNumberFormat="1"/>
    <xf numFmtId="4" fontId="0" fillId="0" borderId="0" xfId="0" applyNumberFormat="1"/>
    <xf numFmtId="0" fontId="4" fillId="0" borderId="0" xfId="0" applyFont="1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17" fontId="0" fillId="0" borderId="0" xfId="0" applyNumberFormat="1"/>
    <xf numFmtId="0" fontId="6" fillId="0" borderId="0" xfId="0" applyFont="1"/>
    <xf numFmtId="0" fontId="7" fillId="0" borderId="2" xfId="0" applyFont="1" applyBorder="1"/>
    <xf numFmtId="0" fontId="4" fillId="0" borderId="3" xfId="0" applyFont="1" applyBorder="1"/>
    <xf numFmtId="164" fontId="8" fillId="0" borderId="0" xfId="0" applyNumberFormat="1" applyFont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0" xfId="0" applyFont="1"/>
    <xf numFmtId="0" fontId="7" fillId="0" borderId="3" xfId="0" applyFont="1" applyBorder="1"/>
    <xf numFmtId="0" fontId="4" fillId="0" borderId="6" xfId="0" applyFont="1" applyBorder="1"/>
    <xf numFmtId="3" fontId="4" fillId="0" borderId="0" xfId="0" applyNumberFormat="1" applyFont="1"/>
    <xf numFmtId="44" fontId="4" fillId="0" borderId="0" xfId="0" applyNumberFormat="1" applyFont="1"/>
    <xf numFmtId="0" fontId="9" fillId="0" borderId="0" xfId="0" applyFont="1"/>
    <xf numFmtId="4" fontId="9" fillId="0" borderId="0" xfId="0" applyNumberFormat="1" applyFont="1"/>
    <xf numFmtId="3" fontId="9" fillId="0" borderId="0" xfId="0" applyNumberFormat="1" applyFont="1"/>
    <xf numFmtId="1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/>
    <xf numFmtId="2" fontId="0" fillId="0" borderId="0" xfId="0" applyNumberFormat="1"/>
    <xf numFmtId="2" fontId="0" fillId="0" borderId="0" xfId="0" applyNumberFormat="1" applyAlignment="1">
      <alignment horizontal="right"/>
    </xf>
    <xf numFmtId="0" fontId="10" fillId="0" borderId="0" xfId="0" applyFont="1"/>
    <xf numFmtId="2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right"/>
    </xf>
    <xf numFmtId="14" fontId="10" fillId="0" borderId="0" xfId="0" applyNumberFormat="1" applyFont="1"/>
    <xf numFmtId="4" fontId="10" fillId="0" borderId="0" xfId="0" applyNumberFormat="1" applyFont="1"/>
    <xf numFmtId="0" fontId="3" fillId="0" borderId="0" xfId="0" applyFont="1"/>
    <xf numFmtId="165" fontId="11" fillId="0" borderId="0" xfId="0" applyNumberFormat="1" applyFont="1" applyAlignment="1">
      <alignment horizontal="right"/>
    </xf>
    <xf numFmtId="43" fontId="11" fillId="0" borderId="0" xfId="1" applyFont="1" applyAlignment="1">
      <alignment horizontal="right"/>
    </xf>
    <xf numFmtId="0" fontId="11" fillId="0" borderId="0" xfId="0" applyFont="1"/>
    <xf numFmtId="43" fontId="3" fillId="0" borderId="0" xfId="1" applyFont="1"/>
    <xf numFmtId="43" fontId="3" fillId="0" borderId="0" xfId="1" applyFont="1" applyAlignment="1">
      <alignment horizontal="right"/>
    </xf>
    <xf numFmtId="14" fontId="3" fillId="0" borderId="0" xfId="0" applyNumberFormat="1" applyFont="1"/>
    <xf numFmtId="4" fontId="12" fillId="0" borderId="0" xfId="0" applyNumberFormat="1" applyFont="1"/>
    <xf numFmtId="166" fontId="3" fillId="0" borderId="0" xfId="0" applyNumberFormat="1" applyFont="1" applyAlignment="1">
      <alignment horizontal="right"/>
    </xf>
    <xf numFmtId="14" fontId="4" fillId="0" borderId="0" xfId="0" applyNumberFormat="1" applyFont="1"/>
    <xf numFmtId="44" fontId="0" fillId="0" borderId="0" xfId="0" applyNumberFormat="1"/>
    <xf numFmtId="166" fontId="0" fillId="0" borderId="0" xfId="0" applyNumberFormat="1" applyAlignment="1">
      <alignment horizontal="right"/>
    </xf>
    <xf numFmtId="0" fontId="3" fillId="0" borderId="0" xfId="0" applyFont="1" applyAlignment="1">
      <alignment horizontal="left"/>
    </xf>
    <xf numFmtId="43" fontId="3" fillId="0" borderId="0" xfId="1" applyFont="1" applyAlignment="1"/>
    <xf numFmtId="43" fontId="11" fillId="0" borderId="0" xfId="1" applyFont="1" applyAlignment="1"/>
    <xf numFmtId="43" fontId="11" fillId="0" borderId="0" xfId="1" applyFont="1"/>
    <xf numFmtId="166" fontId="3" fillId="0" borderId="0" xfId="1" quotePrefix="1" applyNumberFormat="1" applyFont="1" applyAlignment="1"/>
    <xf numFmtId="0" fontId="0" fillId="0" borderId="1" xfId="0" applyBorder="1"/>
    <xf numFmtId="2" fontId="0" fillId="0" borderId="1" xfId="0" applyNumberFormat="1" applyBorder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9" fillId="0" borderId="0" xfId="6" applyFont="1"/>
    <xf numFmtId="2" fontId="3" fillId="0" borderId="0" xfId="0" applyNumberFormat="1" applyFont="1"/>
    <xf numFmtId="165" fontId="11" fillId="0" borderId="0" xfId="0" applyNumberFormat="1" applyFont="1" applyAlignment="1">
      <alignment horizontal="center"/>
    </xf>
    <xf numFmtId="4" fontId="2" fillId="0" borderId="0" xfId="6" applyNumberFormat="1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10" fontId="0" fillId="0" borderId="0" xfId="0" applyNumberFormat="1"/>
    <xf numFmtId="0" fontId="0" fillId="0" borderId="0" xfId="0" applyAlignment="1">
      <alignment wrapText="1"/>
    </xf>
    <xf numFmtId="0" fontId="14" fillId="0" borderId="0" xfId="0" applyFont="1"/>
    <xf numFmtId="10" fontId="0" fillId="2" borderId="0" xfId="0" applyNumberFormat="1" applyFill="1"/>
    <xf numFmtId="0" fontId="0" fillId="2" borderId="0" xfId="0" applyFill="1" applyAlignment="1">
      <alignment wrapText="1"/>
    </xf>
    <xf numFmtId="0" fontId="0" fillId="2" borderId="0" xfId="0" applyFill="1"/>
  </cellXfs>
  <cellStyles count="11">
    <cellStyle name="Comma" xfId="1" builtinId="3"/>
    <cellStyle name="Comma 2" xfId="2" xr:uid="{00000000-0005-0000-0000-000001000000}"/>
    <cellStyle name="Comma 3" xfId="3" xr:uid="{00000000-0005-0000-0000-000002000000}"/>
    <cellStyle name="Comma 3 2" xfId="8" xr:uid="{00000000-0005-0000-0000-000003000000}"/>
    <cellStyle name="Comma 4" xfId="7" xr:uid="{00000000-0005-0000-0000-000004000000}"/>
    <cellStyle name="Comma 4 2" xfId="10" xr:uid="{00000000-0005-0000-0000-000005000000}"/>
    <cellStyle name="Normal" xfId="0" builtinId="0"/>
    <cellStyle name="Normal 2" xfId="4" xr:uid="{00000000-0005-0000-0000-000007000000}"/>
    <cellStyle name="Normal 2 2" xfId="9" xr:uid="{00000000-0005-0000-0000-000008000000}"/>
    <cellStyle name="Normal 3" xfId="5" xr:uid="{00000000-0005-0000-0000-000009000000}"/>
    <cellStyle name="Normal 3 2" xfId="6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60"/>
  <sheetViews>
    <sheetView tabSelected="1" workbookViewId="0">
      <selection activeCell="O15" sqref="O15"/>
    </sheetView>
  </sheetViews>
  <sheetFormatPr defaultColWidth="9.140625" defaultRowHeight="12.75" x14ac:dyDescent="0.2"/>
  <cols>
    <col min="1" max="1" width="8.85546875" style="32" bestFit="1" customWidth="1"/>
    <col min="2" max="2" width="14.140625" style="32" customWidth="1"/>
    <col min="3" max="3" width="33.28515625" style="32" bestFit="1" customWidth="1"/>
    <col min="4" max="4" width="9.7109375" style="32" bestFit="1" customWidth="1"/>
    <col min="5" max="5" width="12.85546875" style="32" bestFit="1" customWidth="1"/>
    <col min="6" max="6" width="14.42578125" style="36" bestFit="1" customWidth="1"/>
    <col min="7" max="7" width="12.85546875" style="32" bestFit="1" customWidth="1"/>
    <col min="8" max="8" width="14.42578125" style="45" bestFit="1" customWidth="1"/>
    <col min="9" max="9" width="14.140625" style="36" bestFit="1" customWidth="1"/>
    <col min="10" max="12" width="9.140625" style="32"/>
    <col min="13" max="13" width="32.85546875" style="32" bestFit="1" customWidth="1"/>
    <col min="14" max="14" width="9.140625" style="32"/>
    <col min="15" max="17" width="12.7109375" style="32" bestFit="1" customWidth="1"/>
    <col min="18" max="18" width="12.42578125" style="32" bestFit="1" customWidth="1"/>
    <col min="19" max="19" width="11.7109375" style="32" bestFit="1" customWidth="1"/>
    <col min="20" max="16384" width="9.140625" style="32"/>
  </cols>
  <sheetData>
    <row r="2" spans="1:19" x14ac:dyDescent="0.2">
      <c r="A2" s="32" t="s">
        <v>53</v>
      </c>
      <c r="B2" s="32" t="s">
        <v>57</v>
      </c>
      <c r="E2" s="36" t="s">
        <v>55</v>
      </c>
      <c r="H2" s="48">
        <v>44985</v>
      </c>
    </row>
    <row r="3" spans="1:19" x14ac:dyDescent="0.2">
      <c r="A3" s="44">
        <v>955542</v>
      </c>
      <c r="B3" s="32" t="s">
        <v>59</v>
      </c>
    </row>
    <row r="4" spans="1:19" x14ac:dyDescent="0.2">
      <c r="D4" s="36" t="s">
        <v>0</v>
      </c>
      <c r="E4" s="37" t="s">
        <v>56</v>
      </c>
      <c r="G4" s="37" t="s">
        <v>1</v>
      </c>
      <c r="H4" s="45" t="s">
        <v>2</v>
      </c>
      <c r="I4" s="36" t="s">
        <v>3</v>
      </c>
      <c r="J4" t="s">
        <v>64</v>
      </c>
      <c r="K4" s="2"/>
      <c r="L4" s="2"/>
      <c r="M4" s="2"/>
      <c r="N4" s="2"/>
      <c r="O4"/>
      <c r="P4" s="2"/>
      <c r="Q4" s="2"/>
      <c r="R4"/>
    </row>
    <row r="5" spans="1:19" x14ac:dyDescent="0.2">
      <c r="A5" s="35" t="s">
        <v>54</v>
      </c>
      <c r="B5" s="35" t="s">
        <v>4</v>
      </c>
      <c r="C5" s="55" t="s">
        <v>5</v>
      </c>
      <c r="D5" s="34" t="s">
        <v>6</v>
      </c>
      <c r="E5" s="34" t="s">
        <v>7</v>
      </c>
      <c r="F5" s="34" t="s">
        <v>7</v>
      </c>
      <c r="G5" s="34" t="s">
        <v>8</v>
      </c>
      <c r="H5" s="46" t="s">
        <v>8</v>
      </c>
      <c r="I5" s="47" t="s">
        <v>9</v>
      </c>
      <c r="J5" t="s">
        <v>65</v>
      </c>
      <c r="K5" s="2"/>
      <c r="L5" s="2"/>
      <c r="M5" s="2"/>
      <c r="N5" s="2"/>
      <c r="O5" s="2"/>
      <c r="P5" s="2"/>
      <c r="Q5" s="2"/>
      <c r="R5"/>
    </row>
    <row r="6" spans="1:19" x14ac:dyDescent="0.2">
      <c r="A6" s="35"/>
      <c r="B6" s="35"/>
      <c r="C6" s="33"/>
      <c r="D6" s="34"/>
      <c r="E6" s="34"/>
      <c r="F6" s="34"/>
      <c r="G6" s="34"/>
      <c r="H6" s="46"/>
      <c r="I6" s="47"/>
      <c r="K6" s="2"/>
      <c r="L6" s="2"/>
      <c r="M6" s="2"/>
      <c r="N6" s="2"/>
      <c r="O6" s="2"/>
      <c r="P6" s="2"/>
      <c r="Q6" s="2"/>
      <c r="R6"/>
    </row>
    <row r="7" spans="1:19" x14ac:dyDescent="0.2">
      <c r="A7" t="str">
        <f>"GOOGL"</f>
        <v>GOOGL</v>
      </c>
      <c r="B7" s="2">
        <v>6500</v>
      </c>
      <c r="C7" t="str">
        <f>"Alphabet Inc"</f>
        <v>Alphabet Inc</v>
      </c>
      <c r="D7" s="59">
        <v>3.0800000000000001E-2</v>
      </c>
      <c r="E7">
        <f>F7/B7</f>
        <v>62.905740000000002</v>
      </c>
      <c r="F7" s="2">
        <v>408887.31</v>
      </c>
      <c r="G7">
        <v>90.06</v>
      </c>
      <c r="H7" s="2">
        <v>585390</v>
      </c>
      <c r="I7" s="2">
        <v>176502.69</v>
      </c>
      <c r="J7" t="str">
        <f>""</f>
        <v/>
      </c>
      <c r="K7" s="2"/>
      <c r="L7" s="2"/>
      <c r="M7" s="2"/>
      <c r="N7" s="2"/>
      <c r="O7" s="2"/>
      <c r="P7" s="2"/>
      <c r="Q7" s="2"/>
      <c r="R7"/>
    </row>
    <row r="8" spans="1:19" x14ac:dyDescent="0.2">
      <c r="A8" t="str">
        <f>"ATEX"</f>
        <v>ATEX</v>
      </c>
      <c r="B8" s="2">
        <v>8180</v>
      </c>
      <c r="C8" t="str">
        <f>"Anterix Inc"</f>
        <v>Anterix Inc</v>
      </c>
      <c r="D8" s="59">
        <v>1.2999999999999999E-2</v>
      </c>
      <c r="E8">
        <f t="shared" ref="E8:E43" si="0">F8/B8</f>
        <v>59.017672371638142</v>
      </c>
      <c r="F8" s="2">
        <v>482764.56</v>
      </c>
      <c r="G8">
        <v>30.2</v>
      </c>
      <c r="H8" s="2">
        <v>247036</v>
      </c>
      <c r="I8" s="2">
        <v>-235728.56</v>
      </c>
      <c r="J8" t="str">
        <f>""</f>
        <v/>
      </c>
      <c r="K8" s="2"/>
      <c r="L8" s="2"/>
      <c r="M8" s="2"/>
      <c r="N8" s="2"/>
      <c r="O8" s="2"/>
      <c r="P8" s="2"/>
      <c r="Q8" s="2"/>
      <c r="R8" s="2"/>
      <c r="S8" s="2"/>
    </row>
    <row r="9" spans="1:19" x14ac:dyDescent="0.2">
      <c r="A9" t="str">
        <f>"AON"</f>
        <v>AON</v>
      </c>
      <c r="B9" s="2">
        <v>2047</v>
      </c>
      <c r="C9" t="str">
        <f>"Aon PLC"</f>
        <v>Aon PLC</v>
      </c>
      <c r="D9" s="59">
        <v>3.2800000000000003E-2</v>
      </c>
      <c r="E9">
        <f t="shared" si="0"/>
        <v>105.31171958964337</v>
      </c>
      <c r="F9" s="2">
        <v>215573.09</v>
      </c>
      <c r="G9">
        <v>304.05</v>
      </c>
      <c r="H9" s="2">
        <v>622390.35</v>
      </c>
      <c r="I9" s="2">
        <v>406817.26</v>
      </c>
      <c r="J9" t="str">
        <f>""</f>
        <v/>
      </c>
      <c r="K9"/>
      <c r="L9" s="2"/>
      <c r="M9"/>
      <c r="N9" s="2"/>
      <c r="O9" s="2"/>
      <c r="P9" s="2"/>
      <c r="Q9" s="2"/>
      <c r="R9" s="2"/>
      <c r="S9" s="2"/>
    </row>
    <row r="10" spans="1:19" x14ac:dyDescent="0.2">
      <c r="A10" t="str">
        <f>"APG"</f>
        <v>APG</v>
      </c>
      <c r="B10" s="2">
        <v>23785</v>
      </c>
      <c r="C10" t="str">
        <f>"API Group Corp"</f>
        <v>API Group Corp</v>
      </c>
      <c r="D10" s="59">
        <v>2.9399999999999999E-2</v>
      </c>
      <c r="E10">
        <f t="shared" si="0"/>
        <v>18.734204750893419</v>
      </c>
      <c r="F10" s="2">
        <v>445593.06</v>
      </c>
      <c r="G10">
        <v>23.49</v>
      </c>
      <c r="H10" s="2">
        <v>558709.65</v>
      </c>
      <c r="I10" s="2">
        <v>113116.59</v>
      </c>
      <c r="J10" t="str">
        <f>""</f>
        <v/>
      </c>
      <c r="K10"/>
      <c r="L10" s="2"/>
      <c r="M10"/>
      <c r="N10" s="2"/>
      <c r="O10" s="2"/>
      <c r="P10" s="2"/>
      <c r="Q10" s="2"/>
      <c r="R10" s="2"/>
      <c r="S10" s="2"/>
    </row>
    <row r="11" spans="1:19" x14ac:dyDescent="0.2">
      <c r="A11" t="str">
        <f>"AZO"</f>
        <v>AZO</v>
      </c>
      <c r="B11">
        <v>464</v>
      </c>
      <c r="C11" t="str">
        <f>"AutoZone Inc"</f>
        <v>AutoZone Inc</v>
      </c>
      <c r="D11" s="59">
        <v>6.08E-2</v>
      </c>
      <c r="E11">
        <f t="shared" si="0"/>
        <v>406.86829741379313</v>
      </c>
      <c r="F11" s="2">
        <v>188786.89</v>
      </c>
      <c r="G11" s="2">
        <v>2486.54</v>
      </c>
      <c r="H11" s="2">
        <v>1153754.56</v>
      </c>
      <c r="I11" s="2">
        <v>964967.67</v>
      </c>
      <c r="J11" t="str">
        <f>""</f>
        <v/>
      </c>
      <c r="K11" s="2"/>
      <c r="L11" s="2"/>
      <c r="M11"/>
      <c r="N11" s="2"/>
      <c r="O11" s="2"/>
      <c r="P11" s="2"/>
      <c r="Q11" s="2"/>
      <c r="R11" s="2"/>
      <c r="S11" s="2"/>
    </row>
    <row r="12" spans="1:19" x14ac:dyDescent="0.2">
      <c r="A12" t="str">
        <f>"AVGO"</f>
        <v>AVGO</v>
      </c>
      <c r="B12" s="2">
        <v>1458</v>
      </c>
      <c r="C12" t="str">
        <f>"Broadcom Inc"</f>
        <v>Broadcom Inc</v>
      </c>
      <c r="D12" s="59">
        <v>4.5600000000000002E-2</v>
      </c>
      <c r="E12">
        <f t="shared" si="0"/>
        <v>253.43285322359395</v>
      </c>
      <c r="F12" s="2">
        <v>369505.1</v>
      </c>
      <c r="G12">
        <v>594.29</v>
      </c>
      <c r="H12" s="2">
        <v>866474.82</v>
      </c>
      <c r="I12" s="2">
        <v>496969.72</v>
      </c>
      <c r="J12" t="str">
        <f>""</f>
        <v/>
      </c>
      <c r="K12"/>
      <c r="L12" s="2"/>
      <c r="M12" s="2"/>
      <c r="N12" s="2"/>
      <c r="O12" s="2"/>
      <c r="P12" s="2"/>
      <c r="Q12" s="2"/>
      <c r="R12" s="2"/>
      <c r="S12" s="2"/>
    </row>
    <row r="13" spans="1:19" x14ac:dyDescent="0.2">
      <c r="A13" t="str">
        <f>"BAM"</f>
        <v>BAM</v>
      </c>
      <c r="B13" s="2">
        <v>2732</v>
      </c>
      <c r="C13" t="str">
        <f>"Brookfield Asset Management Inc Class A"</f>
        <v>Brookfield Asset Management Inc Class A</v>
      </c>
      <c r="D13" s="59">
        <v>4.8999999999999998E-3</v>
      </c>
      <c r="E13">
        <f t="shared" si="0"/>
        <v>36.599363103953152</v>
      </c>
      <c r="F13" s="2">
        <v>99989.46</v>
      </c>
      <c r="G13">
        <v>33.619999999999997</v>
      </c>
      <c r="H13" s="2">
        <v>91849.84</v>
      </c>
      <c r="I13" s="2">
        <v>-8139.62</v>
      </c>
      <c r="J13" s="2">
        <v>1065.48</v>
      </c>
      <c r="K13" s="2"/>
      <c r="L13" s="2"/>
      <c r="M13"/>
      <c r="N13" s="2"/>
      <c r="O13" s="2"/>
      <c r="P13" s="2"/>
      <c r="Q13" s="2"/>
      <c r="R13" s="2"/>
      <c r="S13" s="2"/>
    </row>
    <row r="14" spans="1:19" x14ac:dyDescent="0.2">
      <c r="A14" t="str">
        <f>"BN"</f>
        <v>BN</v>
      </c>
      <c r="B14" s="2">
        <v>10930</v>
      </c>
      <c r="C14" t="str">
        <f>"Brookfield Corp"</f>
        <v>Brookfield Corp</v>
      </c>
      <c r="D14" s="59">
        <v>1.9199999999999998E-2</v>
      </c>
      <c r="E14">
        <f t="shared" si="0"/>
        <v>39.73085727355901</v>
      </c>
      <c r="F14" s="2">
        <v>434258.27</v>
      </c>
      <c r="G14">
        <v>33.25</v>
      </c>
      <c r="H14" s="2">
        <v>363422.5</v>
      </c>
      <c r="I14" s="2">
        <v>-70835.77</v>
      </c>
      <c r="J14">
        <v>765.1</v>
      </c>
      <c r="K14"/>
      <c r="L14" s="2"/>
      <c r="M14"/>
      <c r="N14" s="2"/>
      <c r="O14" s="2"/>
      <c r="P14" s="2"/>
      <c r="Q14" s="2"/>
      <c r="R14" s="2"/>
      <c r="S14" s="2"/>
    </row>
    <row r="15" spans="1:19" x14ac:dyDescent="0.2">
      <c r="A15" t="str">
        <f>"CP"</f>
        <v>CP</v>
      </c>
      <c r="B15" s="2">
        <v>6420</v>
      </c>
      <c r="C15" t="str">
        <f>"Canadian Pacific Railway Ltd"</f>
        <v>Canadian Pacific Railway Ltd</v>
      </c>
      <c r="D15" s="59">
        <v>2.5700000000000001E-2</v>
      </c>
      <c r="E15">
        <f t="shared" si="0"/>
        <v>73.631208722741434</v>
      </c>
      <c r="F15" s="2">
        <v>472712.36</v>
      </c>
      <c r="G15">
        <v>75.94</v>
      </c>
      <c r="H15" s="2">
        <v>487534.8</v>
      </c>
      <c r="I15" s="2">
        <v>14822.44</v>
      </c>
      <c r="J15" t="str">
        <f>""</f>
        <v/>
      </c>
      <c r="K15"/>
      <c r="L15" s="2"/>
      <c r="M15"/>
      <c r="N15" s="2"/>
      <c r="O15" s="2"/>
      <c r="P15" s="2"/>
      <c r="Q15" s="2"/>
      <c r="R15" s="2"/>
      <c r="S15" s="2"/>
    </row>
    <row r="16" spans="1:19" x14ac:dyDescent="0.2">
      <c r="A16" t="str">
        <f>"CIGI"</f>
        <v>CIGI</v>
      </c>
      <c r="B16" s="2">
        <v>7529</v>
      </c>
      <c r="C16" t="str">
        <f>"Colliers International Group"</f>
        <v>Colliers International Group</v>
      </c>
      <c r="D16" s="59">
        <v>4.5900000000000003E-2</v>
      </c>
      <c r="E16">
        <f t="shared" si="0"/>
        <v>44.373660512684282</v>
      </c>
      <c r="F16" s="2">
        <v>334089.28999999998</v>
      </c>
      <c r="G16">
        <v>115.82</v>
      </c>
      <c r="H16" s="2">
        <v>872008.78</v>
      </c>
      <c r="I16" s="2">
        <v>537919.49</v>
      </c>
      <c r="J16" t="str">
        <f>""</f>
        <v/>
      </c>
      <c r="K16"/>
      <c r="L16" s="2"/>
      <c r="M16"/>
      <c r="N16" s="2"/>
      <c r="O16" s="2"/>
      <c r="P16" s="2"/>
      <c r="Q16" s="2"/>
      <c r="R16" s="2"/>
      <c r="S16" s="2"/>
    </row>
    <row r="17" spans="1:19" x14ac:dyDescent="0.2">
      <c r="A17" t="str">
        <f>"CTRA"</f>
        <v>CTRA</v>
      </c>
      <c r="B17" s="2">
        <v>17770</v>
      </c>
      <c r="C17" t="str">
        <f>"Coterra Energy Inc"</f>
        <v>Coterra Energy Inc</v>
      </c>
      <c r="D17" s="59">
        <v>2.3400000000000001E-2</v>
      </c>
      <c r="E17">
        <f t="shared" si="0"/>
        <v>28.502201463140125</v>
      </c>
      <c r="F17" s="2">
        <v>506484.12</v>
      </c>
      <c r="G17">
        <v>24.97</v>
      </c>
      <c r="H17" s="2">
        <v>443716.9</v>
      </c>
      <c r="I17" s="2">
        <v>-62767.22</v>
      </c>
      <c r="J17" t="str">
        <f>""</f>
        <v/>
      </c>
      <c r="K17"/>
      <c r="L17" s="2"/>
      <c r="M17"/>
      <c r="N17" s="2"/>
      <c r="O17" s="2"/>
      <c r="P17" s="2"/>
      <c r="Q17" s="2"/>
      <c r="R17" s="2"/>
      <c r="S17" s="2"/>
    </row>
    <row r="18" spans="1:19" x14ac:dyDescent="0.2">
      <c r="A18" t="str">
        <f>"DLTR"</f>
        <v>DLTR</v>
      </c>
      <c r="B18" s="2">
        <v>4765</v>
      </c>
      <c r="C18" t="str">
        <f>"Dollar Tree Inc"</f>
        <v>Dollar Tree Inc</v>
      </c>
      <c r="D18" s="59">
        <v>3.6499999999999998E-2</v>
      </c>
      <c r="E18">
        <f t="shared" si="0"/>
        <v>37.418285414480586</v>
      </c>
      <c r="F18" s="2">
        <v>178298.13</v>
      </c>
      <c r="G18">
        <v>145.28</v>
      </c>
      <c r="H18" s="2">
        <v>692259.2</v>
      </c>
      <c r="I18" s="2">
        <v>513961.07</v>
      </c>
      <c r="J18" t="str">
        <f>""</f>
        <v/>
      </c>
      <c r="K18"/>
      <c r="L18" s="2"/>
      <c r="M18"/>
      <c r="N18" s="2"/>
      <c r="O18" s="2"/>
      <c r="P18" s="2"/>
      <c r="Q18" s="2"/>
      <c r="R18" s="2"/>
      <c r="S18" s="2"/>
    </row>
    <row r="19" spans="1:19" x14ac:dyDescent="0.2">
      <c r="A19" t="str">
        <f>"DBX"</f>
        <v>DBX</v>
      </c>
      <c r="B19" s="2">
        <v>13860</v>
      </c>
      <c r="C19" t="str">
        <f>"Dropbox Inc"</f>
        <v>Dropbox Inc</v>
      </c>
      <c r="D19" s="59">
        <v>1.49E-2</v>
      </c>
      <c r="E19">
        <f t="shared" si="0"/>
        <v>21.333880230880233</v>
      </c>
      <c r="F19" s="2">
        <v>295687.58</v>
      </c>
      <c r="G19">
        <v>20.399999999999999</v>
      </c>
      <c r="H19" s="2">
        <v>282744</v>
      </c>
      <c r="I19" s="2">
        <v>-12943.58</v>
      </c>
      <c r="J19" t="str">
        <f>""</f>
        <v/>
      </c>
      <c r="K19"/>
      <c r="L19" s="2"/>
      <c r="M19"/>
      <c r="N19" s="2"/>
      <c r="O19" s="2"/>
      <c r="P19" s="2"/>
      <c r="Q19" s="2"/>
      <c r="R19" s="2"/>
      <c r="S19" s="2"/>
    </row>
    <row r="20" spans="1:19" x14ac:dyDescent="0.2">
      <c r="A20" t="str">
        <f>"EBAY"</f>
        <v>EBAY</v>
      </c>
      <c r="B20" s="2">
        <v>7365</v>
      </c>
      <c r="C20" t="str">
        <f>"eBay Inc"</f>
        <v>eBay Inc</v>
      </c>
      <c r="D20" s="59">
        <v>1.78E-2</v>
      </c>
      <c r="E20">
        <f t="shared" si="0"/>
        <v>40.565665987780044</v>
      </c>
      <c r="F20" s="2">
        <v>298766.13</v>
      </c>
      <c r="G20">
        <v>45.9</v>
      </c>
      <c r="H20" s="2">
        <v>338053.5</v>
      </c>
      <c r="I20" s="2">
        <v>39287.370000000003</v>
      </c>
      <c r="J20" t="str">
        <f>""</f>
        <v/>
      </c>
      <c r="K20"/>
      <c r="L20" s="2"/>
      <c r="M20"/>
      <c r="N20" s="2"/>
      <c r="O20" s="2"/>
      <c r="P20" s="2"/>
      <c r="Q20" s="2"/>
      <c r="R20" s="2"/>
      <c r="S20" s="2"/>
    </row>
    <row r="21" spans="1:19" x14ac:dyDescent="0.2">
      <c r="A21" t="str">
        <f>"EME"</f>
        <v>EME</v>
      </c>
      <c r="B21" s="2">
        <v>5842</v>
      </c>
      <c r="C21" t="str">
        <f>"EMCOR Group Inc"</f>
        <v>EMCOR Group Inc</v>
      </c>
      <c r="D21" s="59">
        <v>5.1499999999999997E-2</v>
      </c>
      <c r="E21">
        <f t="shared" si="0"/>
        <v>26.394176651831565</v>
      </c>
      <c r="F21" s="2">
        <v>154194.78</v>
      </c>
      <c r="G21">
        <v>167.22</v>
      </c>
      <c r="H21" s="2">
        <v>976899.24</v>
      </c>
      <c r="I21" s="2">
        <v>822704.46</v>
      </c>
      <c r="J21" t="str">
        <f>""</f>
        <v/>
      </c>
      <c r="K21"/>
      <c r="L21" s="2"/>
      <c r="M21"/>
      <c r="N21" s="2"/>
      <c r="O21" s="2"/>
      <c r="P21" s="2"/>
      <c r="Q21" s="2"/>
      <c r="R21" s="2"/>
      <c r="S21" s="2"/>
    </row>
    <row r="22" spans="1:19" x14ac:dyDescent="0.2">
      <c r="A22" t="str">
        <f>"F"</f>
        <v>F</v>
      </c>
      <c r="B22" s="2">
        <v>22130</v>
      </c>
      <c r="C22" t="str">
        <f>"Ford Motor Co"</f>
        <v>Ford Motor Co</v>
      </c>
      <c r="D22" s="59">
        <v>1.41E-2</v>
      </c>
      <c r="E22">
        <f t="shared" si="0"/>
        <v>15.74836195210122</v>
      </c>
      <c r="F22" s="2">
        <v>348511.25</v>
      </c>
      <c r="G22">
        <v>12.07</v>
      </c>
      <c r="H22" s="2">
        <v>267109.09999999998</v>
      </c>
      <c r="I22" s="2">
        <v>-81402.149999999994</v>
      </c>
      <c r="J22" t="str">
        <f>""</f>
        <v/>
      </c>
      <c r="K22"/>
      <c r="L22" s="2"/>
      <c r="M22"/>
      <c r="N22" s="2"/>
      <c r="O22" s="2"/>
      <c r="P22" s="2"/>
      <c r="Q22" s="2"/>
      <c r="R22" s="2"/>
      <c r="S22" s="2"/>
    </row>
    <row r="23" spans="1:19" x14ac:dyDescent="0.2">
      <c r="A23" t="str">
        <f>"GXO"</f>
        <v>GXO</v>
      </c>
      <c r="B23" s="2">
        <v>5286</v>
      </c>
      <c r="C23" t="str">
        <f>"GXO Logistics Inc"</f>
        <v>GXO Logistics Inc</v>
      </c>
      <c r="D23" s="59">
        <v>1.38E-2</v>
      </c>
      <c r="E23">
        <f t="shared" si="0"/>
        <v>30.194735149451379</v>
      </c>
      <c r="F23" s="2">
        <v>159609.37</v>
      </c>
      <c r="G23">
        <v>49.57</v>
      </c>
      <c r="H23" s="2">
        <v>262027.02</v>
      </c>
      <c r="I23" s="2">
        <v>102417.65</v>
      </c>
      <c r="J23" t="str">
        <f>""</f>
        <v/>
      </c>
      <c r="K23"/>
      <c r="L23" s="2"/>
      <c r="M23"/>
      <c r="N23" s="2"/>
      <c r="O23" s="2"/>
      <c r="P23" s="2"/>
      <c r="Q23" s="2"/>
      <c r="R23" s="2"/>
      <c r="S23" s="2"/>
    </row>
    <row r="24" spans="1:19" x14ac:dyDescent="0.2">
      <c r="A24" t="str">
        <f>"ICUI"</f>
        <v>ICUI</v>
      </c>
      <c r="B24" s="2">
        <v>1530</v>
      </c>
      <c r="C24" t="str">
        <f>"ICU Medical Inc"</f>
        <v>ICU Medical Inc</v>
      </c>
      <c r="D24" s="59">
        <v>1.38E-2</v>
      </c>
      <c r="E24">
        <f t="shared" si="0"/>
        <v>184.53424183006535</v>
      </c>
      <c r="F24" s="2">
        <v>282337.39</v>
      </c>
      <c r="G24">
        <v>170.64</v>
      </c>
      <c r="H24" s="2">
        <v>261079.2</v>
      </c>
      <c r="I24" s="2">
        <v>-21258.19</v>
      </c>
      <c r="J24" t="str">
        <f>""</f>
        <v/>
      </c>
      <c r="K24"/>
      <c r="L24" s="2"/>
      <c r="M24"/>
      <c r="N24" s="2"/>
      <c r="O24" s="2"/>
      <c r="P24" s="2"/>
      <c r="Q24" s="2"/>
      <c r="R24" s="2"/>
      <c r="S24" s="2"/>
    </row>
    <row r="25" spans="1:19" x14ac:dyDescent="0.2">
      <c r="A25" t="str">
        <f>"INMD"</f>
        <v>INMD</v>
      </c>
      <c r="B25" s="2">
        <v>10860</v>
      </c>
      <c r="C25" t="str">
        <f>"InMode Ltd"</f>
        <v>InMode Ltd</v>
      </c>
      <c r="D25" s="59">
        <v>2.0199999999999999E-2</v>
      </c>
      <c r="E25">
        <f t="shared" si="0"/>
        <v>35.404738489871086</v>
      </c>
      <c r="F25" s="2">
        <v>384495.46</v>
      </c>
      <c r="G25">
        <v>35.31</v>
      </c>
      <c r="H25" s="2">
        <v>383466.6</v>
      </c>
      <c r="I25" s="2">
        <v>-1028.8599999999999</v>
      </c>
      <c r="J25" t="str">
        <f>""</f>
        <v/>
      </c>
      <c r="K25"/>
      <c r="L25" s="2"/>
      <c r="M25"/>
      <c r="N25" s="2"/>
      <c r="O25" s="2"/>
      <c r="P25" s="2"/>
      <c r="Q25" s="2"/>
      <c r="R25" s="2"/>
      <c r="S25" s="2"/>
    </row>
    <row r="26" spans="1:19" x14ac:dyDescent="0.2">
      <c r="A26" t="str">
        <f>"IOSP"</f>
        <v>IOSP</v>
      </c>
      <c r="B26" s="2">
        <v>4666</v>
      </c>
      <c r="C26" t="str">
        <f>"Innospec Inc"</f>
        <v>Innospec Inc</v>
      </c>
      <c r="D26" s="59">
        <v>2.69E-2</v>
      </c>
      <c r="E26">
        <f t="shared" si="0"/>
        <v>41.991429489927135</v>
      </c>
      <c r="F26" s="2">
        <v>195932.01</v>
      </c>
      <c r="G26">
        <v>109.46</v>
      </c>
      <c r="H26" s="2">
        <v>510740.36</v>
      </c>
      <c r="I26" s="2">
        <v>314808.34999999998</v>
      </c>
      <c r="J26" t="str">
        <f>""</f>
        <v/>
      </c>
      <c r="K26"/>
      <c r="L26" s="2"/>
      <c r="M26"/>
      <c r="N26" s="2"/>
      <c r="O26" s="2"/>
      <c r="P26" s="2"/>
      <c r="Q26" s="2"/>
      <c r="R26" s="2"/>
      <c r="S26" s="2"/>
    </row>
    <row r="27" spans="1:19" x14ac:dyDescent="0.2">
      <c r="A27" t="str">
        <f>"LSXMA"</f>
        <v>LSXMA</v>
      </c>
      <c r="B27" s="2">
        <v>2902</v>
      </c>
      <c r="C27" t="str">
        <f>"Liberty SiriusXM Group A"</f>
        <v>Liberty SiriusXM Group A</v>
      </c>
      <c r="D27" s="59">
        <v>5.0000000000000001E-3</v>
      </c>
      <c r="E27">
        <f t="shared" si="0"/>
        <v>11.464352170916611</v>
      </c>
      <c r="F27" s="2">
        <v>33269.550000000003</v>
      </c>
      <c r="G27">
        <v>32.39</v>
      </c>
      <c r="H27" s="2">
        <v>93995.78</v>
      </c>
      <c r="I27" s="2">
        <v>60726.23</v>
      </c>
      <c r="J27" t="str">
        <f>""</f>
        <v/>
      </c>
      <c r="K27"/>
      <c r="L27" s="2"/>
      <c r="M27"/>
      <c r="N27" s="2"/>
      <c r="O27" s="2"/>
      <c r="P27" s="2"/>
      <c r="Q27" s="2"/>
      <c r="R27" s="2"/>
      <c r="S27" s="2"/>
    </row>
    <row r="28" spans="1:19" x14ac:dyDescent="0.2">
      <c r="A28" t="str">
        <f>"LSXMK"</f>
        <v>LSXMK</v>
      </c>
      <c r="B28" s="2">
        <v>6892</v>
      </c>
      <c r="C28" t="str">
        <f>"Liberty SiriusXM Group C"</f>
        <v>Liberty SiriusXM Group C</v>
      </c>
      <c r="D28" s="59">
        <v>1.17E-2</v>
      </c>
      <c r="E28">
        <f t="shared" si="0"/>
        <v>17.799029309344167</v>
      </c>
      <c r="F28" s="2">
        <v>122670.91</v>
      </c>
      <c r="G28">
        <v>32.22</v>
      </c>
      <c r="H28" s="2">
        <v>222060.24</v>
      </c>
      <c r="I28" s="2">
        <v>99389.33</v>
      </c>
      <c r="J28" t="str">
        <f>""</f>
        <v/>
      </c>
      <c r="K28"/>
      <c r="L28" s="2"/>
      <c r="M28"/>
      <c r="N28" s="2"/>
      <c r="O28" s="2"/>
      <c r="P28" s="2"/>
      <c r="Q28" s="2"/>
      <c r="R28" s="2"/>
      <c r="S28" s="2"/>
    </row>
    <row r="29" spans="1:19" x14ac:dyDescent="0.2">
      <c r="A29" t="str">
        <f>"MPC"</f>
        <v>MPC</v>
      </c>
      <c r="B29" s="2">
        <v>8324</v>
      </c>
      <c r="C29" t="str">
        <f>"Marathon Petroleum Corp"</f>
        <v>Marathon Petroleum Corp</v>
      </c>
      <c r="D29" s="59">
        <v>5.4199999999999998E-2</v>
      </c>
      <c r="E29">
        <f t="shared" si="0"/>
        <v>46.219012493993269</v>
      </c>
      <c r="F29" s="2">
        <v>384727.06</v>
      </c>
      <c r="G29">
        <v>123.6</v>
      </c>
      <c r="H29" s="2">
        <v>1028846.4</v>
      </c>
      <c r="I29" s="2">
        <v>644119.34</v>
      </c>
      <c r="J29" t="str">
        <f>""</f>
        <v/>
      </c>
      <c r="K29"/>
      <c r="L29" s="2"/>
      <c r="M29"/>
      <c r="N29" s="2"/>
      <c r="O29" s="2"/>
      <c r="P29" s="2"/>
      <c r="Q29" s="2"/>
      <c r="R29" s="2"/>
      <c r="S29" s="2"/>
    </row>
    <row r="30" spans="1:19" x14ac:dyDescent="0.2">
      <c r="A30" t="str">
        <f>"MKL"</f>
        <v>MKL</v>
      </c>
      <c r="B30">
        <v>380</v>
      </c>
      <c r="C30" t="str">
        <f>"Markel Corp"</f>
        <v>Markel Corp</v>
      </c>
      <c r="D30" s="59">
        <v>2.6599999999999999E-2</v>
      </c>
      <c r="E30">
        <f t="shared" si="0"/>
        <v>618.26639473684213</v>
      </c>
      <c r="F30" s="2">
        <v>234941.23</v>
      </c>
      <c r="G30" s="2">
        <v>1329.86</v>
      </c>
      <c r="H30" s="2">
        <v>505346.8</v>
      </c>
      <c r="I30" s="2">
        <v>270405.57</v>
      </c>
      <c r="J30" t="str">
        <f>""</f>
        <v/>
      </c>
      <c r="K30"/>
      <c r="L30" s="2"/>
      <c r="M30"/>
      <c r="N30" s="2"/>
      <c r="O30" s="2"/>
      <c r="P30" s="2"/>
      <c r="Q30" s="2"/>
      <c r="R30" s="2"/>
      <c r="S30" s="2"/>
    </row>
    <row r="31" spans="1:19" x14ac:dyDescent="0.2">
      <c r="A31" t="str">
        <f>"MTZ"</f>
        <v>MTZ</v>
      </c>
      <c r="B31" s="2">
        <v>11453</v>
      </c>
      <c r="C31" t="str">
        <f>"MasTec Inc"</f>
        <v>MasTec Inc</v>
      </c>
      <c r="D31" s="59">
        <v>5.8900000000000001E-2</v>
      </c>
      <c r="E31">
        <f t="shared" si="0"/>
        <v>20.497039203702087</v>
      </c>
      <c r="F31" s="2">
        <v>234752.59</v>
      </c>
      <c r="G31">
        <v>97.72</v>
      </c>
      <c r="H31" s="2">
        <v>1119187.1599999999</v>
      </c>
      <c r="I31" s="2">
        <v>884434.57</v>
      </c>
      <c r="J31" t="str">
        <f>""</f>
        <v/>
      </c>
      <c r="K31"/>
      <c r="L31" s="2"/>
      <c r="M31"/>
      <c r="N31" s="2"/>
      <c r="O31" s="2"/>
      <c r="P31" s="2"/>
      <c r="Q31" s="2"/>
      <c r="R31" s="2"/>
      <c r="S31" s="2"/>
    </row>
    <row r="32" spans="1:19" x14ac:dyDescent="0.2">
      <c r="A32" t="str">
        <f>"PXD"</f>
        <v>PXD</v>
      </c>
      <c r="B32" s="2">
        <v>1135</v>
      </c>
      <c r="C32" t="str">
        <f>"Pioneer Natural Resources Co"</f>
        <v>Pioneer Natural Resources Co</v>
      </c>
      <c r="D32" s="59">
        <v>1.2E-2</v>
      </c>
      <c r="E32">
        <f t="shared" si="0"/>
        <v>226.69259911894272</v>
      </c>
      <c r="F32" s="2">
        <v>257296.1</v>
      </c>
      <c r="G32">
        <v>200.41</v>
      </c>
      <c r="H32" s="2">
        <v>227465.35</v>
      </c>
      <c r="I32" s="2">
        <v>-29830.75</v>
      </c>
      <c r="J32" t="str">
        <f>""</f>
        <v/>
      </c>
      <c r="K32"/>
      <c r="L32" s="2"/>
      <c r="M32"/>
      <c r="N32" s="2"/>
      <c r="O32" s="2"/>
      <c r="P32" s="2"/>
      <c r="Q32" s="2"/>
      <c r="R32" s="2"/>
      <c r="S32" s="2"/>
    </row>
    <row r="33" spans="1:19" x14ac:dyDescent="0.2">
      <c r="A33" t="str">
        <f>"RSG"</f>
        <v>RSG</v>
      </c>
      <c r="B33" s="2">
        <v>4635</v>
      </c>
      <c r="C33" t="str">
        <f>"Republic Services Inc"</f>
        <v>Republic Services Inc</v>
      </c>
      <c r="D33" s="59">
        <v>3.15E-2</v>
      </c>
      <c r="E33">
        <f t="shared" si="0"/>
        <v>81.653434735706583</v>
      </c>
      <c r="F33" s="2">
        <v>378463.67</v>
      </c>
      <c r="G33">
        <v>128.93</v>
      </c>
      <c r="H33" s="2">
        <v>597590.55000000005</v>
      </c>
      <c r="I33" s="2">
        <v>219126.88</v>
      </c>
      <c r="J33" t="str">
        <f>""</f>
        <v/>
      </c>
      <c r="K33"/>
      <c r="L33" s="2"/>
      <c r="M33"/>
      <c r="N33"/>
      <c r="O33" s="2"/>
      <c r="P33" s="2"/>
      <c r="Q33" s="2"/>
      <c r="R33" s="2"/>
      <c r="S33" s="2"/>
    </row>
    <row r="34" spans="1:19" x14ac:dyDescent="0.2">
      <c r="A34" t="str">
        <f>"RXO"</f>
        <v>RXO</v>
      </c>
      <c r="B34" s="2">
        <v>15286</v>
      </c>
      <c r="C34" t="str">
        <f>"RXO Inc"</f>
        <v>RXO Inc</v>
      </c>
      <c r="D34" s="59">
        <v>1.66E-2</v>
      </c>
      <c r="E34">
        <f t="shared" si="0"/>
        <v>11.161455580269529</v>
      </c>
      <c r="F34" s="2">
        <v>170614.01</v>
      </c>
      <c r="G34">
        <v>20.57</v>
      </c>
      <c r="H34" s="2">
        <v>314433.02</v>
      </c>
      <c r="I34" s="2">
        <v>143819.01</v>
      </c>
      <c r="J34" t="str">
        <f>""</f>
        <v/>
      </c>
      <c r="K34"/>
      <c r="L34" s="2"/>
      <c r="M34"/>
      <c r="N34" s="2"/>
      <c r="O34" s="2"/>
      <c r="P34" s="2"/>
      <c r="Q34" s="2"/>
      <c r="R34" s="2"/>
      <c r="S34" s="2"/>
    </row>
    <row r="35" spans="1:19" x14ac:dyDescent="0.2">
      <c r="A35" t="str">
        <f>"SSNC"</f>
        <v>SSNC</v>
      </c>
      <c r="B35" s="2">
        <v>7247</v>
      </c>
      <c r="C35" t="str">
        <f>"SS&amp;C Technologies Holdings Inc"</f>
        <v>SS&amp;C Technologies Holdings Inc</v>
      </c>
      <c r="D35" s="59">
        <v>2.2499999999999999E-2</v>
      </c>
      <c r="E35">
        <f t="shared" si="0"/>
        <v>52.347178142679731</v>
      </c>
      <c r="F35" s="2">
        <v>379360</v>
      </c>
      <c r="G35">
        <v>58.7</v>
      </c>
      <c r="H35" s="2">
        <v>425398.9</v>
      </c>
      <c r="I35" s="2">
        <v>46038.9</v>
      </c>
      <c r="J35" s="2">
        <v>1449.4</v>
      </c>
      <c r="K35"/>
      <c r="L35" s="2"/>
      <c r="M35"/>
      <c r="N35"/>
      <c r="O35" s="2"/>
      <c r="P35" s="2"/>
      <c r="Q35" s="2"/>
      <c r="R35" s="2"/>
      <c r="S35" s="2"/>
    </row>
    <row r="36" spans="1:19" x14ac:dyDescent="0.2">
      <c r="A36" t="str">
        <f>"LRN"</f>
        <v>LRN</v>
      </c>
      <c r="B36" s="2">
        <v>20000</v>
      </c>
      <c r="C36" t="str">
        <f>"Stride Inc"</f>
        <v>Stride Inc</v>
      </c>
      <c r="D36" s="59">
        <v>4.4699999999999997E-2</v>
      </c>
      <c r="E36">
        <f t="shared" si="0"/>
        <v>29.274812000000001</v>
      </c>
      <c r="F36" s="2">
        <v>585496.24</v>
      </c>
      <c r="G36">
        <v>42.47</v>
      </c>
      <c r="H36" s="2">
        <v>849400</v>
      </c>
      <c r="I36" s="2">
        <v>263903.76</v>
      </c>
      <c r="J36" t="str">
        <f>""</f>
        <v/>
      </c>
      <c r="K36"/>
      <c r="L36" s="2"/>
      <c r="M36"/>
      <c r="N36" s="2"/>
      <c r="O36" s="2"/>
      <c r="P36" s="2"/>
      <c r="Q36" s="2"/>
      <c r="R36" s="2"/>
      <c r="S36" s="2"/>
    </row>
    <row r="37" spans="1:19" x14ac:dyDescent="0.2">
      <c r="A37" t="str">
        <f>"BCO"</f>
        <v>BCO</v>
      </c>
      <c r="B37" s="2">
        <v>6546</v>
      </c>
      <c r="C37" t="str">
        <f>"The Brink's Co"</f>
        <v>The Brink's Co</v>
      </c>
      <c r="D37" s="59">
        <v>2.2499999999999999E-2</v>
      </c>
      <c r="E37">
        <f t="shared" si="0"/>
        <v>54.036344332416739</v>
      </c>
      <c r="F37" s="2">
        <v>353721.91</v>
      </c>
      <c r="G37">
        <v>65.25</v>
      </c>
      <c r="H37" s="2">
        <v>427126.5</v>
      </c>
      <c r="I37" s="2">
        <v>73404.59</v>
      </c>
      <c r="J37" t="str">
        <f>""</f>
        <v/>
      </c>
      <c r="K37"/>
      <c r="L37" s="2"/>
      <c r="M37"/>
      <c r="N37"/>
      <c r="O37" s="2"/>
      <c r="P37" s="2"/>
      <c r="Q37" s="2"/>
      <c r="R37" s="2"/>
      <c r="S37" s="2"/>
    </row>
    <row r="38" spans="1:19" x14ac:dyDescent="0.2">
      <c r="A38" t="str">
        <f>"SHYF"</f>
        <v>SHYF</v>
      </c>
      <c r="B38" s="2">
        <v>15137</v>
      </c>
      <c r="C38" t="str">
        <f>"The Shyft Group Inc"</f>
        <v>The Shyft Group Inc</v>
      </c>
      <c r="D38" s="59">
        <v>2.07E-2</v>
      </c>
      <c r="E38">
        <f t="shared" si="0"/>
        <v>15.688988571051066</v>
      </c>
      <c r="F38" s="2">
        <v>237484.22</v>
      </c>
      <c r="G38">
        <v>25.93</v>
      </c>
      <c r="H38" s="2">
        <v>392502.41</v>
      </c>
      <c r="I38" s="2">
        <v>155018.19</v>
      </c>
      <c r="J38">
        <v>756.85</v>
      </c>
      <c r="K38"/>
      <c r="L38" s="2"/>
      <c r="M38"/>
      <c r="N38"/>
      <c r="O38"/>
      <c r="P38" s="2"/>
      <c r="Q38" s="2"/>
      <c r="R38" s="2"/>
      <c r="S38" s="2"/>
    </row>
    <row r="39" spans="1:19" x14ac:dyDescent="0.2">
      <c r="A39" t="str">
        <f>"VC"</f>
        <v>VC</v>
      </c>
      <c r="B39" s="2">
        <v>3857</v>
      </c>
      <c r="C39" t="str">
        <f>"Visteon Corp"</f>
        <v>Visteon Corp</v>
      </c>
      <c r="D39" s="59">
        <v>3.39E-2</v>
      </c>
      <c r="E39">
        <f t="shared" si="0"/>
        <v>74.644301270417429</v>
      </c>
      <c r="F39" s="2">
        <v>287903.07</v>
      </c>
      <c r="G39">
        <v>167.04</v>
      </c>
      <c r="H39" s="2">
        <v>644273.28</v>
      </c>
      <c r="I39" s="2">
        <v>356370.21</v>
      </c>
      <c r="J39" t="str">
        <f>""</f>
        <v/>
      </c>
      <c r="K39"/>
      <c r="L39" s="2"/>
      <c r="M39"/>
      <c r="N39"/>
      <c r="O39" s="2"/>
      <c r="P39" s="2"/>
      <c r="Q39" s="2"/>
      <c r="R39" s="2"/>
      <c r="S39" s="2"/>
    </row>
    <row r="40" spans="1:19" x14ac:dyDescent="0.2">
      <c r="A40" t="str">
        <f>"VST"</f>
        <v>VST</v>
      </c>
      <c r="B40" s="2">
        <v>18310</v>
      </c>
      <c r="C40" t="str">
        <f>"Vistra Corp"</f>
        <v>Vistra Corp</v>
      </c>
      <c r="D40" s="59">
        <v>2.12E-2</v>
      </c>
      <c r="E40">
        <f t="shared" si="0"/>
        <v>16.450043145821954</v>
      </c>
      <c r="F40" s="2">
        <v>301200.28999999998</v>
      </c>
      <c r="G40">
        <v>21.99</v>
      </c>
      <c r="H40" s="2">
        <v>402636.9</v>
      </c>
      <c r="I40" s="2">
        <v>101436.61</v>
      </c>
      <c r="J40" t="str">
        <f>""</f>
        <v/>
      </c>
      <c r="K40"/>
      <c r="L40" s="2"/>
      <c r="M40"/>
      <c r="N40" s="2"/>
      <c r="O40"/>
      <c r="P40" s="2"/>
      <c r="Q40" s="2"/>
      <c r="R40" s="2"/>
      <c r="S40" s="2"/>
    </row>
    <row r="41" spans="1:19" x14ac:dyDescent="0.2">
      <c r="A41" t="str">
        <f>"VOYA"</f>
        <v>VOYA</v>
      </c>
      <c r="B41" s="2">
        <v>6816</v>
      </c>
      <c r="C41" t="str">
        <f>"Voya Financial Inc"</f>
        <v>Voya Financial Inc</v>
      </c>
      <c r="D41" s="59">
        <v>2.6800000000000001E-2</v>
      </c>
      <c r="E41">
        <f t="shared" si="0"/>
        <v>31.553202758215964</v>
      </c>
      <c r="F41" s="2">
        <v>215066.63</v>
      </c>
      <c r="G41">
        <v>74.489999999999995</v>
      </c>
      <c r="H41" s="2">
        <v>507723.84</v>
      </c>
      <c r="I41" s="2">
        <v>292657.21000000002</v>
      </c>
      <c r="J41" s="2">
        <v>1363.2</v>
      </c>
      <c r="K41"/>
      <c r="L41" s="2"/>
      <c r="M41"/>
      <c r="N41"/>
      <c r="O41" s="2"/>
      <c r="P41" s="2"/>
      <c r="Q41" s="2"/>
      <c r="R41" s="2"/>
      <c r="S41" s="2"/>
    </row>
    <row r="42" spans="1:19" x14ac:dyDescent="0.2">
      <c r="A42" t="str">
        <f>"DIS"</f>
        <v>DIS</v>
      </c>
      <c r="B42" s="2">
        <v>1925</v>
      </c>
      <c r="C42" t="str">
        <f>"Walt Disney Co"</f>
        <v>Walt Disney Co</v>
      </c>
      <c r="D42" s="59">
        <v>1.01E-2</v>
      </c>
      <c r="E42">
        <f t="shared" si="0"/>
        <v>91.134301298701303</v>
      </c>
      <c r="F42" s="2">
        <v>175433.53</v>
      </c>
      <c r="G42">
        <v>99.61</v>
      </c>
      <c r="H42" s="2">
        <v>191749.25</v>
      </c>
      <c r="I42" s="2">
        <v>16315.72</v>
      </c>
      <c r="J42" t="str">
        <f>""</f>
        <v/>
      </c>
      <c r="K42"/>
      <c r="L42" s="2"/>
      <c r="M42"/>
      <c r="N42"/>
      <c r="O42"/>
      <c r="P42" s="2"/>
      <c r="Q42"/>
      <c r="R42" s="2"/>
      <c r="S42" s="2"/>
    </row>
    <row r="43" spans="1:19" x14ac:dyDescent="0.2">
      <c r="A43" t="str">
        <f>"CASH"</f>
        <v>CASH</v>
      </c>
      <c r="B43" t="str">
        <f>""</f>
        <v/>
      </c>
      <c r="C43" t="str">
        <f>"Cash"</f>
        <v>Cash</v>
      </c>
      <c r="D43" s="59">
        <v>4.0300000000000002E-2</v>
      </c>
      <c r="E43"/>
      <c r="F43" s="2">
        <v>764389.77</v>
      </c>
      <c r="G43" t="str">
        <f>""</f>
        <v/>
      </c>
      <c r="H43" s="2">
        <v>764389.77</v>
      </c>
      <c r="I43">
        <v>0</v>
      </c>
      <c r="J43" t="str">
        <f>""</f>
        <v/>
      </c>
      <c r="K43"/>
      <c r="L43" s="2"/>
      <c r="M43"/>
      <c r="N43"/>
      <c r="O43"/>
      <c r="P43" s="2"/>
      <c r="Q43"/>
      <c r="R43" s="2"/>
      <c r="S43" s="2"/>
    </row>
    <row r="44" spans="1:19" x14ac:dyDescent="0.2">
      <c r="A44"/>
      <c r="B44"/>
      <c r="C44"/>
      <c r="D44" s="59"/>
      <c r="E44"/>
      <c r="F44" s="2"/>
      <c r="G44"/>
      <c r="H44" s="2"/>
      <c r="I44"/>
      <c r="J44"/>
      <c r="K44"/>
      <c r="L44" s="2"/>
      <c r="M44"/>
      <c r="N44"/>
      <c r="O44"/>
      <c r="P44" s="2"/>
      <c r="Q44"/>
      <c r="R44" s="2"/>
      <c r="S44" s="2"/>
    </row>
    <row r="45" spans="1:19" x14ac:dyDescent="0.2">
      <c r="A45" t="str">
        <f>""</f>
        <v/>
      </c>
      <c r="B45" t="str">
        <f>""</f>
        <v/>
      </c>
      <c r="C45" t="str">
        <f>"Subtotal"</f>
        <v>Subtotal</v>
      </c>
      <c r="D45" s="59">
        <v>0.9597</v>
      </c>
      <c r="E45"/>
      <c r="F45" s="2">
        <v>10608876.619999999</v>
      </c>
      <c r="G45" t="str">
        <f>""</f>
        <v/>
      </c>
      <c r="H45" s="2">
        <v>18221802.829999998</v>
      </c>
      <c r="I45" s="2">
        <v>7607526.1799999997</v>
      </c>
      <c r="J45" t="str">
        <f>""</f>
        <v/>
      </c>
      <c r="K45"/>
      <c r="L45" s="2"/>
      <c r="M45"/>
      <c r="N45"/>
      <c r="O45"/>
      <c r="P45" s="2"/>
      <c r="Q45" s="2"/>
      <c r="R45" s="2"/>
      <c r="S45" s="2"/>
    </row>
    <row r="46" spans="1:19" x14ac:dyDescent="0.2">
      <c r="A46"/>
      <c r="B46"/>
      <c r="C46"/>
      <c r="D46" s="59"/>
      <c r="E46"/>
      <c r="F46" s="2"/>
      <c r="G46"/>
      <c r="H46" s="2"/>
      <c r="I46" s="2"/>
      <c r="J46"/>
      <c r="K46"/>
      <c r="L46" s="2"/>
      <c r="M46"/>
      <c r="N46"/>
      <c r="O46"/>
      <c r="P46" s="2"/>
      <c r="Q46" s="2"/>
      <c r="R46" s="2"/>
      <c r="S46" s="2"/>
    </row>
    <row r="47" spans="1:19" x14ac:dyDescent="0.2">
      <c r="A47" t="str">
        <f>""</f>
        <v/>
      </c>
      <c r="B47" t="str">
        <f>""</f>
        <v/>
      </c>
      <c r="C47" t="str">
        <f>"Managed Assets Total"</f>
        <v>Managed Assets Total</v>
      </c>
      <c r="D47" s="59">
        <v>1</v>
      </c>
      <c r="E47"/>
      <c r="F47" s="2">
        <v>11373266.390000001</v>
      </c>
      <c r="G47" t="str">
        <f>""</f>
        <v/>
      </c>
      <c r="H47" s="2">
        <v>18986192.600000001</v>
      </c>
      <c r="I47" s="2">
        <v>7607526.1799999997</v>
      </c>
      <c r="J47" t="str">
        <f>""</f>
        <v/>
      </c>
      <c r="K47"/>
      <c r="L47"/>
      <c r="M47"/>
      <c r="N47"/>
      <c r="O47"/>
      <c r="P47" s="2"/>
      <c r="Q47"/>
      <c r="R47" s="2"/>
      <c r="S47"/>
    </row>
    <row r="48" spans="1:19" x14ac:dyDescent="0.2">
      <c r="A48"/>
      <c r="B48"/>
      <c r="C48"/>
      <c r="D48" s="59"/>
      <c r="E48"/>
      <c r="F48" s="2"/>
      <c r="G48"/>
      <c r="H48" s="2"/>
      <c r="I48" s="2"/>
      <c r="J48"/>
      <c r="K48"/>
      <c r="L48"/>
      <c r="M48"/>
      <c r="N48"/>
      <c r="O48"/>
      <c r="P48" s="2"/>
      <c r="Q48"/>
      <c r="R48" s="2"/>
      <c r="S48"/>
    </row>
    <row r="49" spans="1:19" x14ac:dyDescent="0.2">
      <c r="A49" t="str">
        <f>""</f>
        <v/>
      </c>
      <c r="B49" t="str">
        <f>""</f>
        <v/>
      </c>
      <c r="C49" t="str">
        <f>"Total"</f>
        <v>Total</v>
      </c>
      <c r="D49" s="59">
        <v>1</v>
      </c>
      <c r="E49"/>
      <c r="F49" s="2">
        <v>11373266.390000001</v>
      </c>
      <c r="G49" t="str">
        <f>""</f>
        <v/>
      </c>
      <c r="H49" s="2">
        <v>18986192.600000001</v>
      </c>
      <c r="I49" s="2">
        <v>7607526.1799999997</v>
      </c>
      <c r="J49" t="str">
        <f>""</f>
        <v/>
      </c>
      <c r="K49"/>
      <c r="L49"/>
      <c r="M49"/>
      <c r="N49"/>
      <c r="O49"/>
      <c r="P49" s="2"/>
      <c r="Q49"/>
      <c r="R49" s="2"/>
      <c r="S49"/>
    </row>
    <row r="50" spans="1:19" x14ac:dyDescent="0.2">
      <c r="A50"/>
      <c r="B50"/>
      <c r="C50"/>
      <c r="D50" s="59"/>
      <c r="E50" s="25"/>
      <c r="F50" s="2"/>
      <c r="G50"/>
      <c r="H50" s="2"/>
      <c r="I50" s="2"/>
      <c r="J50"/>
      <c r="K50"/>
      <c r="L50"/>
      <c r="M50"/>
      <c r="N50"/>
      <c r="O50"/>
      <c r="P50"/>
      <c r="Q50"/>
      <c r="R50" s="2"/>
      <c r="S50" s="2"/>
    </row>
    <row r="51" spans="1:19" x14ac:dyDescent="0.2">
      <c r="A51"/>
      <c r="B51"/>
      <c r="C51"/>
      <c r="D51" s="59"/>
      <c r="E51" s="25"/>
      <c r="F51" s="2"/>
      <c r="G51"/>
      <c r="H51" s="2"/>
      <c r="I51" s="2"/>
      <c r="J51"/>
      <c r="K51"/>
      <c r="L51"/>
      <c r="M51"/>
      <c r="N51"/>
      <c r="O51"/>
      <c r="P51"/>
      <c r="Q51"/>
      <c r="R51"/>
      <c r="S51"/>
    </row>
    <row r="52" spans="1:19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 s="2"/>
      <c r="Q52"/>
      <c r="R52" s="2"/>
      <c r="S52" s="2"/>
    </row>
    <row r="53" spans="1:19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1:19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</row>
    <row r="55" spans="1:19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</row>
    <row r="56" spans="1:19" x14ac:dyDescent="0.2">
      <c r="A56"/>
      <c r="B56"/>
      <c r="C56"/>
      <c r="D56"/>
      <c r="E56"/>
      <c r="F56"/>
      <c r="G56"/>
      <c r="H56"/>
      <c r="I56"/>
      <c r="J56"/>
      <c r="K56"/>
      <c r="L56"/>
    </row>
    <row r="57" spans="1:19" x14ac:dyDescent="0.2">
      <c r="A57"/>
      <c r="B57"/>
      <c r="C57"/>
      <c r="D57"/>
      <c r="E57"/>
      <c r="F57"/>
      <c r="G57"/>
      <c r="H57"/>
      <c r="I57"/>
      <c r="J57"/>
      <c r="K57"/>
      <c r="L57"/>
    </row>
    <row r="58" spans="1:19" x14ac:dyDescent="0.2">
      <c r="A58"/>
      <c r="B58"/>
      <c r="C58"/>
      <c r="D58"/>
      <c r="E58"/>
      <c r="F58"/>
      <c r="G58"/>
      <c r="H58"/>
      <c r="I58"/>
      <c r="J58"/>
      <c r="K58"/>
    </row>
    <row r="59" spans="1:19" x14ac:dyDescent="0.2">
      <c r="A59"/>
      <c r="B59"/>
      <c r="C59"/>
      <c r="D59"/>
      <c r="E59"/>
      <c r="F59"/>
      <c r="G59"/>
      <c r="H59"/>
      <c r="I59"/>
      <c r="J59"/>
      <c r="K59"/>
    </row>
    <row r="60" spans="1:19" x14ac:dyDescent="0.2">
      <c r="A60"/>
      <c r="B60"/>
      <c r="C60"/>
      <c r="D60"/>
      <c r="E60"/>
      <c r="F60"/>
      <c r="G60"/>
      <c r="H60"/>
      <c r="I60"/>
      <c r="J60"/>
      <c r="K60"/>
    </row>
  </sheetData>
  <phoneticPr fontId="5" type="noConversion"/>
  <pageMargins left="0.25" right="0.25" top="0.5" bottom="0.5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9"/>
  <sheetViews>
    <sheetView workbookViewId="0">
      <selection activeCell="A43" sqref="A43"/>
    </sheetView>
  </sheetViews>
  <sheetFormatPr defaultRowHeight="12.75" x14ac:dyDescent="0.2"/>
  <cols>
    <col min="1" max="1" width="18.7109375" customWidth="1"/>
    <col min="2" max="2" width="11.85546875" customWidth="1"/>
    <col min="3" max="3" width="9.85546875" customWidth="1"/>
    <col min="4" max="4" width="11.42578125" customWidth="1"/>
    <col min="5" max="6" width="12" customWidth="1"/>
    <col min="7" max="7" width="13" customWidth="1"/>
    <col min="8" max="8" width="16.42578125" customWidth="1"/>
  </cols>
  <sheetData>
    <row r="2" spans="1:9" x14ac:dyDescent="0.2">
      <c r="B2" s="3" t="s">
        <v>12</v>
      </c>
    </row>
    <row r="3" spans="1:9" x14ac:dyDescent="0.2">
      <c r="A3" s="32" t="s">
        <v>58</v>
      </c>
      <c r="B3" s="41">
        <v>44985</v>
      </c>
      <c r="E3" s="4" t="s">
        <v>52</v>
      </c>
    </row>
    <row r="4" spans="1:9" x14ac:dyDescent="0.2">
      <c r="B4" s="5" t="s">
        <v>33</v>
      </c>
      <c r="C4" s="5" t="s">
        <v>15</v>
      </c>
      <c r="D4" s="5" t="s">
        <v>16</v>
      </c>
      <c r="E4" s="29" t="s">
        <v>17</v>
      </c>
      <c r="F4" s="5" t="s">
        <v>18</v>
      </c>
      <c r="G4" s="5" t="s">
        <v>19</v>
      </c>
      <c r="H4" s="5" t="s">
        <v>20</v>
      </c>
    </row>
    <row r="5" spans="1:9" x14ac:dyDescent="0.2">
      <c r="A5" t="s">
        <v>13</v>
      </c>
      <c r="B5" s="28">
        <v>-1.95</v>
      </c>
      <c r="C5" s="25"/>
      <c r="D5" s="28">
        <v>-2.0699999999999998</v>
      </c>
      <c r="E5" s="28">
        <v>6.09</v>
      </c>
      <c r="F5" s="28">
        <v>12.67</v>
      </c>
      <c r="G5" s="28">
        <v>5.95</v>
      </c>
      <c r="H5" s="28">
        <v>281.91000000000003</v>
      </c>
      <c r="I5" s="24"/>
    </row>
    <row r="6" spans="1:9" x14ac:dyDescent="0.2">
      <c r="A6" t="s">
        <v>14</v>
      </c>
      <c r="B6" s="26">
        <v>-1.95</v>
      </c>
      <c r="D6" s="26">
        <v>-2.4500000000000002</v>
      </c>
      <c r="E6" s="28">
        <v>5.7</v>
      </c>
      <c r="F6" s="28">
        <v>12.31</v>
      </c>
      <c r="G6" s="28">
        <v>5.64</v>
      </c>
      <c r="H6" s="28">
        <v>260.51</v>
      </c>
      <c r="I6" s="24"/>
    </row>
    <row r="7" spans="1:9" x14ac:dyDescent="0.2">
      <c r="A7" t="s">
        <v>61</v>
      </c>
      <c r="B7" s="28">
        <v>-2.35</v>
      </c>
      <c r="D7" s="28">
        <v>-5.41</v>
      </c>
      <c r="E7" s="28">
        <v>-2.5499999999999998</v>
      </c>
      <c r="F7" s="28">
        <v>11.5</v>
      </c>
      <c r="G7" s="28">
        <v>7.67</v>
      </c>
      <c r="H7" s="28">
        <v>264.54000000000002</v>
      </c>
      <c r="I7" s="24"/>
    </row>
    <row r="9" spans="1:9" x14ac:dyDescent="0.2">
      <c r="A9" t="s">
        <v>21</v>
      </c>
    </row>
  </sheetData>
  <phoneticPr fontId="5" type="noConversion"/>
  <pageMargins left="0.25" right="0.25" top="0.5" bottom="0.5" header="0.5" footer="0.5"/>
  <pageSetup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F15"/>
  <sheetViews>
    <sheetView workbookViewId="0">
      <selection activeCell="C26" sqref="C26"/>
    </sheetView>
  </sheetViews>
  <sheetFormatPr defaultRowHeight="12.75" x14ac:dyDescent="0.2"/>
  <cols>
    <col min="1" max="1" width="35.85546875" customWidth="1"/>
    <col min="2" max="2" width="15.5703125" customWidth="1"/>
    <col min="3" max="3" width="13.140625" customWidth="1"/>
    <col min="4" max="4" width="12" style="25" customWidth="1"/>
    <col min="5" max="5" width="2" style="25" customWidth="1"/>
    <col min="6" max="6" width="12.5703125" customWidth="1"/>
  </cols>
  <sheetData>
    <row r="2" spans="1:6" x14ac:dyDescent="0.2">
      <c r="B2" t="s">
        <v>32</v>
      </c>
    </row>
    <row r="4" spans="1:6" x14ac:dyDescent="0.2">
      <c r="A4" t="s">
        <v>51</v>
      </c>
      <c r="D4" s="58">
        <v>44958</v>
      </c>
      <c r="E4" s="40"/>
      <c r="F4" s="58">
        <v>44985</v>
      </c>
    </row>
    <row r="5" spans="1:6" x14ac:dyDescent="0.2">
      <c r="C5" s="4" t="s">
        <v>22</v>
      </c>
      <c r="D5" s="26"/>
      <c r="E5" s="26"/>
      <c r="F5" s="4" t="s">
        <v>23</v>
      </c>
    </row>
    <row r="6" spans="1:6" x14ac:dyDescent="0.2">
      <c r="A6" t="s">
        <v>5</v>
      </c>
      <c r="B6" t="s">
        <v>27</v>
      </c>
      <c r="C6" s="4" t="s">
        <v>24</v>
      </c>
      <c r="D6" s="26" t="s">
        <v>4</v>
      </c>
      <c r="E6" s="26"/>
      <c r="F6" s="4" t="s">
        <v>25</v>
      </c>
    </row>
    <row r="7" spans="1:6" x14ac:dyDescent="0.2">
      <c r="A7" s="49"/>
      <c r="B7" s="49"/>
      <c r="C7" s="49"/>
      <c r="D7" s="50"/>
      <c r="E7" s="50"/>
      <c r="F7" s="5"/>
    </row>
    <row r="8" spans="1:6" x14ac:dyDescent="0.2">
      <c r="C8" s="1"/>
      <c r="F8" s="2"/>
    </row>
    <row r="9" spans="1:6" x14ac:dyDescent="0.2">
      <c r="A9" t="str">
        <f>"XPO Logistics Inc"</f>
        <v>XPO Logistics Inc</v>
      </c>
      <c r="B9" s="24" t="s">
        <v>69</v>
      </c>
      <c r="C9" s="1">
        <v>44966</v>
      </c>
      <c r="D9" s="2">
        <v>2759</v>
      </c>
      <c r="F9" s="2">
        <v>108184.53</v>
      </c>
    </row>
    <row r="10" spans="1:6" x14ac:dyDescent="0.2">
      <c r="A10" t="str">
        <f>"XPO Logistics Inc"</f>
        <v>XPO Logistics Inc</v>
      </c>
      <c r="B10" s="24" t="s">
        <v>69</v>
      </c>
      <c r="C10" s="1">
        <v>44978</v>
      </c>
      <c r="D10" s="2">
        <v>2527</v>
      </c>
      <c r="F10" s="2">
        <v>90432.93</v>
      </c>
    </row>
    <row r="11" spans="1:6" x14ac:dyDescent="0.2">
      <c r="A11" s="51"/>
      <c r="C11" s="38"/>
      <c r="D11" s="39"/>
      <c r="E11" s="39"/>
      <c r="F11" s="39"/>
    </row>
    <row r="12" spans="1:6" x14ac:dyDescent="0.2">
      <c r="A12" t="s">
        <v>26</v>
      </c>
      <c r="C12" s="1"/>
      <c r="D12" s="2"/>
      <c r="E12" s="2"/>
      <c r="F12" s="2">
        <f>SUM(F8:F11)</f>
        <v>198617.46</v>
      </c>
    </row>
    <row r="15" spans="1:6" x14ac:dyDescent="0.2">
      <c r="B15" s="24"/>
    </row>
  </sheetData>
  <sortState xmlns:xlrd2="http://schemas.microsoft.com/office/spreadsheetml/2017/richdata2" ref="A9:F9">
    <sortCondition ref="C9"/>
  </sortState>
  <phoneticPr fontId="5" type="noConversion"/>
  <pageMargins left="0.25" right="0.25" top="0.5" bottom="0.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F11"/>
  <sheetViews>
    <sheetView workbookViewId="0">
      <selection activeCell="A24" sqref="A24"/>
    </sheetView>
  </sheetViews>
  <sheetFormatPr defaultRowHeight="12.75" x14ac:dyDescent="0.2"/>
  <cols>
    <col min="1" max="1" width="23.28515625" customWidth="1"/>
    <col min="2" max="2" width="14.42578125" customWidth="1"/>
    <col min="3" max="3" width="14.7109375" customWidth="1"/>
    <col min="4" max="4" width="13.5703125" customWidth="1"/>
    <col min="5" max="5" width="2.140625" customWidth="1"/>
    <col min="6" max="6" width="15.140625" bestFit="1" customWidth="1"/>
  </cols>
  <sheetData>
    <row r="2" spans="1:6" x14ac:dyDescent="0.2">
      <c r="B2" t="s">
        <v>34</v>
      </c>
    </row>
    <row r="4" spans="1:6" x14ac:dyDescent="0.2">
      <c r="A4" t="s">
        <v>51</v>
      </c>
      <c r="D4" s="43">
        <f>+Transactions!D4</f>
        <v>44958</v>
      </c>
      <c r="E4" s="6"/>
      <c r="F4" s="43">
        <f>+Transactions!F4</f>
        <v>44985</v>
      </c>
    </row>
    <row r="5" spans="1:6" x14ac:dyDescent="0.2">
      <c r="C5" s="4" t="s">
        <v>22</v>
      </c>
      <c r="F5" s="4" t="s">
        <v>23</v>
      </c>
    </row>
    <row r="6" spans="1:6" x14ac:dyDescent="0.2">
      <c r="A6" t="s">
        <v>5</v>
      </c>
      <c r="B6" t="s">
        <v>27</v>
      </c>
      <c r="C6" s="4" t="s">
        <v>24</v>
      </c>
      <c r="D6" s="4" t="s">
        <v>4</v>
      </c>
      <c r="E6" s="4"/>
      <c r="F6" s="4" t="s">
        <v>25</v>
      </c>
    </row>
    <row r="7" spans="1:6" x14ac:dyDescent="0.2">
      <c r="A7" t="s">
        <v>28</v>
      </c>
      <c r="B7" t="s">
        <v>29</v>
      </c>
      <c r="C7" s="4" t="s">
        <v>30</v>
      </c>
      <c r="D7" t="s">
        <v>10</v>
      </c>
      <c r="F7" s="4" t="s">
        <v>11</v>
      </c>
    </row>
    <row r="9" spans="1:6" s="27" customFormat="1" x14ac:dyDescent="0.2">
      <c r="A9" s="3" t="s">
        <v>62</v>
      </c>
      <c r="B9" s="24"/>
      <c r="C9" s="30"/>
      <c r="D9" s="31"/>
      <c r="E9" s="31"/>
      <c r="F9" s="31"/>
    </row>
    <row r="10" spans="1:6" x14ac:dyDescent="0.2">
      <c r="A10" t="s">
        <v>28</v>
      </c>
      <c r="B10" t="s">
        <v>31</v>
      </c>
      <c r="F10" s="4" t="s">
        <v>10</v>
      </c>
    </row>
    <row r="11" spans="1:6" x14ac:dyDescent="0.2">
      <c r="A11" t="s">
        <v>26</v>
      </c>
      <c r="F11" s="2">
        <f>SUM(F9:F10)</f>
        <v>0</v>
      </c>
    </row>
  </sheetData>
  <phoneticPr fontId="5" type="noConversion"/>
  <pageMargins left="0.25" right="0.25" top="0.5" bottom="0.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31"/>
  <sheetViews>
    <sheetView workbookViewId="0">
      <selection activeCell="C26" sqref="C26"/>
    </sheetView>
  </sheetViews>
  <sheetFormatPr defaultRowHeight="12.75" x14ac:dyDescent="0.2"/>
  <cols>
    <col min="1" max="1" width="23.28515625" customWidth="1"/>
    <col min="2" max="2" width="17.7109375" customWidth="1"/>
    <col min="3" max="3" width="27.7109375" customWidth="1"/>
    <col min="4" max="4" width="11.7109375" customWidth="1"/>
    <col min="5" max="5" width="13" customWidth="1"/>
    <col min="6" max="6" width="12.85546875" customWidth="1"/>
    <col min="7" max="7" width="12.85546875" bestFit="1" customWidth="1"/>
    <col min="8" max="8" width="1.7109375" customWidth="1"/>
  </cols>
  <sheetData>
    <row r="1" spans="1:7" ht="15.75" x14ac:dyDescent="0.25">
      <c r="A1" s="7" t="s">
        <v>35</v>
      </c>
      <c r="B1" s="7"/>
    </row>
    <row r="2" spans="1:7" x14ac:dyDescent="0.2">
      <c r="A2" s="3" t="s">
        <v>36</v>
      </c>
      <c r="B2" s="3"/>
    </row>
    <row r="4" spans="1:7" s="3" customFormat="1" x14ac:dyDescent="0.2">
      <c r="A4" s="3" t="s">
        <v>37</v>
      </c>
      <c r="B4" s="8" t="s">
        <v>38</v>
      </c>
      <c r="C4" s="15"/>
      <c r="D4" s="15"/>
      <c r="E4" s="15"/>
      <c r="F4" s="9"/>
      <c r="G4" s="16"/>
    </row>
    <row r="5" spans="1:7" x14ac:dyDescent="0.2">
      <c r="A5" s="3" t="s">
        <v>39</v>
      </c>
      <c r="B5" s="10">
        <f>+'Portfolio Appraisal'!H2</f>
        <v>44985</v>
      </c>
      <c r="D5" s="10"/>
      <c r="E5" s="10"/>
    </row>
    <row r="6" spans="1:7" x14ac:dyDescent="0.2">
      <c r="A6" s="3" t="s">
        <v>40</v>
      </c>
      <c r="B6" s="32" t="s">
        <v>47</v>
      </c>
    </row>
    <row r="8" spans="1:7" s="12" customFormat="1" x14ac:dyDescent="0.2">
      <c r="A8" s="11"/>
      <c r="B8" s="11"/>
      <c r="C8" s="11"/>
      <c r="D8" s="11"/>
      <c r="E8" s="11"/>
      <c r="F8" s="11"/>
      <c r="G8" s="11" t="s">
        <v>41</v>
      </c>
    </row>
    <row r="9" spans="1:7" s="12" customFormat="1" x14ac:dyDescent="0.2">
      <c r="A9" s="13" t="s">
        <v>42</v>
      </c>
      <c r="B9" s="13" t="s">
        <v>48</v>
      </c>
      <c r="C9" s="13" t="s">
        <v>43</v>
      </c>
      <c r="D9" s="13" t="s">
        <v>49</v>
      </c>
      <c r="E9" s="13" t="s">
        <v>50</v>
      </c>
      <c r="F9" s="13" t="s">
        <v>45</v>
      </c>
      <c r="G9" s="13" t="s">
        <v>44</v>
      </c>
    </row>
    <row r="10" spans="1:7" s="14" customFormat="1" x14ac:dyDescent="0.2">
      <c r="B10" s="22"/>
      <c r="C10" s="19"/>
      <c r="D10" s="19"/>
      <c r="E10" s="19"/>
      <c r="F10" s="21"/>
      <c r="G10" s="20"/>
    </row>
    <row r="11" spans="1:7" s="14" customFormat="1" x14ac:dyDescent="0.2">
      <c r="A11" s="57"/>
      <c r="B11" s="38"/>
      <c r="C11" s="53"/>
      <c r="D11" s="24"/>
      <c r="E11" s="19"/>
      <c r="F11" s="52"/>
      <c r="G11" s="20"/>
    </row>
    <row r="12" spans="1:7" s="14" customFormat="1" x14ac:dyDescent="0.2">
      <c r="A12" s="57" t="s">
        <v>53</v>
      </c>
      <c r="B12" s="1">
        <v>44966</v>
      </c>
      <c r="C12" s="53" t="s">
        <v>63</v>
      </c>
      <c r="D12" t="str">
        <f>"Sell"</f>
        <v>Sell</v>
      </c>
      <c r="E12" t="str">
        <f>"XPO"</f>
        <v>XPO</v>
      </c>
      <c r="F12" s="2">
        <v>2759</v>
      </c>
      <c r="G12">
        <v>110.36</v>
      </c>
    </row>
    <row r="13" spans="1:7" s="14" customFormat="1" x14ac:dyDescent="0.2">
      <c r="A13" s="57" t="s">
        <v>53</v>
      </c>
      <c r="B13" s="1">
        <v>44978</v>
      </c>
      <c r="C13" s="53" t="s">
        <v>63</v>
      </c>
      <c r="D13" s="24" t="s">
        <v>69</v>
      </c>
      <c r="E13" t="str">
        <f>"XPO"</f>
        <v>XPO</v>
      </c>
      <c r="F13" s="2">
        <v>2527</v>
      </c>
      <c r="G13">
        <v>101.08</v>
      </c>
    </row>
    <row r="14" spans="1:7" s="14" customFormat="1" x14ac:dyDescent="0.2">
      <c r="A14" s="57"/>
      <c r="B14" s="38"/>
      <c r="C14" s="53"/>
      <c r="D14" s="24"/>
    </row>
    <row r="15" spans="1:7" s="14" customFormat="1" x14ac:dyDescent="0.2">
      <c r="A15" s="57"/>
      <c r="B15" s="38"/>
      <c r="C15" s="19"/>
      <c r="D15" s="24"/>
      <c r="E15" s="19"/>
      <c r="F15" s="52"/>
      <c r="G15" s="20"/>
    </row>
    <row r="16" spans="1:7" x14ac:dyDescent="0.2">
      <c r="A16" s="3" t="s">
        <v>46</v>
      </c>
      <c r="B16" s="23"/>
      <c r="F16" s="17">
        <f>SUM(F11:F15)</f>
        <v>5286</v>
      </c>
      <c r="G16" s="18">
        <f>SUM(G12:G15)</f>
        <v>211.44</v>
      </c>
    </row>
    <row r="20" spans="1:7" x14ac:dyDescent="0.2">
      <c r="G20" s="42"/>
    </row>
    <row r="27" spans="1:7" x14ac:dyDescent="0.2">
      <c r="A27" s="57"/>
      <c r="E27" s="54"/>
      <c r="F27" s="52"/>
    </row>
    <row r="29" spans="1:7" x14ac:dyDescent="0.2">
      <c r="A29" s="1"/>
      <c r="E29" s="2"/>
      <c r="F29" s="2"/>
    </row>
    <row r="30" spans="1:7" x14ac:dyDescent="0.2">
      <c r="A30" s="1"/>
      <c r="E30" s="2"/>
      <c r="F30" s="2"/>
    </row>
    <row r="31" spans="1:7" x14ac:dyDescent="0.2">
      <c r="D31" s="56"/>
    </row>
  </sheetData>
  <sortState xmlns:xlrd2="http://schemas.microsoft.com/office/spreadsheetml/2017/richdata2" ref="A12:G13">
    <sortCondition ref="B12:B13"/>
  </sortState>
  <phoneticPr fontId="5" type="noConversion"/>
  <pageMargins left="0.25" right="0.25" top="0.5" bottom="0.5" header="0.5" footer="0.5"/>
  <pageSetup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138"/>
  <sheetViews>
    <sheetView topLeftCell="A18" workbookViewId="0">
      <selection activeCell="O51" sqref="O51"/>
    </sheetView>
  </sheetViews>
  <sheetFormatPr defaultColWidth="9" defaultRowHeight="12.75" x14ac:dyDescent="0.2"/>
  <cols>
    <col min="2" max="2" width="12.28515625" bestFit="1" customWidth="1"/>
    <col min="3" max="3" width="20.28515625" customWidth="1"/>
    <col min="4" max="4" width="32.85546875" bestFit="1" customWidth="1"/>
    <col min="5" max="5" width="11.5703125" bestFit="1" customWidth="1"/>
    <col min="6" max="6" width="15.7109375" bestFit="1" customWidth="1"/>
    <col min="7" max="8" width="12.7109375" bestFit="1" customWidth="1"/>
    <col min="9" max="9" width="22.7109375" bestFit="1" customWidth="1"/>
    <col min="10" max="10" width="19.5703125" bestFit="1" customWidth="1"/>
    <col min="11" max="11" width="12.5703125" customWidth="1"/>
    <col min="15" max="15" width="10.140625" bestFit="1" customWidth="1"/>
    <col min="17" max="17" width="11.7109375" bestFit="1" customWidth="1"/>
    <col min="18" max="18" width="10.140625" bestFit="1" customWidth="1"/>
  </cols>
  <sheetData>
    <row r="1" spans="1:18" x14ac:dyDescent="0.2">
      <c r="K1" s="2"/>
    </row>
    <row r="2" spans="1:18" x14ac:dyDescent="0.2">
      <c r="B2" s="2" t="s">
        <v>60</v>
      </c>
      <c r="D2" s="2" t="s">
        <v>0</v>
      </c>
      <c r="E2" s="2" t="s">
        <v>1</v>
      </c>
      <c r="F2" s="2"/>
      <c r="G2" s="2" t="s">
        <v>1</v>
      </c>
      <c r="H2" s="2" t="s">
        <v>2</v>
      </c>
      <c r="I2" t="s">
        <v>3</v>
      </c>
      <c r="J2" t="s">
        <v>64</v>
      </c>
      <c r="K2" s="2"/>
    </row>
    <row r="3" spans="1:18" x14ac:dyDescent="0.2">
      <c r="A3" t="s">
        <v>54</v>
      </c>
      <c r="B3" t="s">
        <v>4</v>
      </c>
      <c r="C3" t="s">
        <v>5</v>
      </c>
      <c r="D3" s="2" t="s">
        <v>6</v>
      </c>
      <c r="E3" s="2" t="s">
        <v>7</v>
      </c>
      <c r="F3" s="2" t="s">
        <v>7</v>
      </c>
      <c r="G3" s="2" t="s">
        <v>8</v>
      </c>
      <c r="H3" s="2" t="s">
        <v>8</v>
      </c>
      <c r="I3" t="s">
        <v>9</v>
      </c>
      <c r="J3" t="s">
        <v>65</v>
      </c>
      <c r="K3" s="2"/>
    </row>
    <row r="4" spans="1:18" x14ac:dyDescent="0.2">
      <c r="K4" s="2"/>
    </row>
    <row r="5" spans="1:18" x14ac:dyDescent="0.2">
      <c r="K5" s="2"/>
    </row>
    <row r="6" spans="1:18" x14ac:dyDescent="0.2">
      <c r="A6" t="str">
        <f>"Symbol"</f>
        <v>Symbol</v>
      </c>
      <c r="B6" t="str">
        <f>"Quantity"</f>
        <v>Quantity</v>
      </c>
      <c r="C6" t="str">
        <f>"Description"</f>
        <v>Description</v>
      </c>
      <c r="D6" t="str">
        <f>"Weight"</f>
        <v>Weight</v>
      </c>
      <c r="F6" t="str">
        <f>"Cost Basis"</f>
        <v>Cost Basis</v>
      </c>
      <c r="G6" t="str">
        <f>"Price"</f>
        <v>Price</v>
      </c>
      <c r="H6" t="str">
        <f>"Value"</f>
        <v>Value</v>
      </c>
      <c r="I6" t="str">
        <f>"Unrealized Gain/Loss"</f>
        <v>Unrealized Gain/Loss</v>
      </c>
      <c r="J6" t="str">
        <f>"Accrued Income"</f>
        <v>Accrued Income</v>
      </c>
      <c r="K6" s="2"/>
    </row>
    <row r="7" spans="1:18" x14ac:dyDescent="0.2">
      <c r="B7" s="2"/>
      <c r="D7" s="59"/>
      <c r="E7" s="25"/>
      <c r="F7" s="2"/>
      <c r="H7" s="2"/>
      <c r="I7" s="2"/>
      <c r="K7" s="2"/>
    </row>
    <row r="8" spans="1:18" x14ac:dyDescent="0.2">
      <c r="B8" s="2"/>
      <c r="D8" s="59"/>
      <c r="E8" s="25"/>
      <c r="F8" s="2"/>
      <c r="H8" s="2"/>
      <c r="I8" s="2"/>
      <c r="K8" s="2"/>
    </row>
    <row r="9" spans="1:18" x14ac:dyDescent="0.2">
      <c r="A9" t="str">
        <f>"Symbol"</f>
        <v>Symbol</v>
      </c>
      <c r="B9" t="str">
        <f>"Quantity"</f>
        <v>Quantity</v>
      </c>
      <c r="C9" t="str">
        <f>"Description"</f>
        <v>Description</v>
      </c>
      <c r="D9" t="str">
        <f>"Weight"</f>
        <v>Weight</v>
      </c>
      <c r="F9" t="str">
        <f>"Cost Basis"</f>
        <v>Cost Basis</v>
      </c>
      <c r="G9" t="str">
        <f>"Price"</f>
        <v>Price</v>
      </c>
      <c r="H9" t="str">
        <f>"Value"</f>
        <v>Value</v>
      </c>
      <c r="I9" t="str">
        <f>"Unrealized Gain/Loss"</f>
        <v>Unrealized Gain/Loss</v>
      </c>
      <c r="J9" t="str">
        <f>"Accrued Income"</f>
        <v>Accrued Income</v>
      </c>
    </row>
    <row r="10" spans="1:18" x14ac:dyDescent="0.2">
      <c r="B10" s="2"/>
      <c r="D10" s="59"/>
      <c r="F10" s="2"/>
      <c r="H10" s="2"/>
      <c r="I10" s="2"/>
      <c r="O10" s="2"/>
      <c r="Q10" s="2"/>
      <c r="R10" s="2"/>
    </row>
    <row r="11" spans="1:18" x14ac:dyDescent="0.2">
      <c r="B11" s="2"/>
      <c r="D11" s="59"/>
      <c r="F11" s="2"/>
      <c r="H11" s="2"/>
      <c r="I11" s="2"/>
      <c r="K11" s="2"/>
    </row>
    <row r="12" spans="1:18" x14ac:dyDescent="0.2">
      <c r="A12" t="str">
        <f>"As of Date"</f>
        <v>As of Date</v>
      </c>
      <c r="B12" t="str">
        <f>"Data For"</f>
        <v>Data For</v>
      </c>
      <c r="C12" t="str">
        <f>"Managed?"</f>
        <v>Managed?</v>
      </c>
      <c r="D12" t="str">
        <f>"Asset Class"</f>
        <v>Asset Class</v>
      </c>
      <c r="E12" t="str">
        <f>"Symbol"</f>
        <v>Symbol</v>
      </c>
      <c r="F12" t="str">
        <f>"Description"</f>
        <v>Description</v>
      </c>
      <c r="G12" t="str">
        <f>"Weight"</f>
        <v>Weight</v>
      </c>
      <c r="H12" t="str">
        <f>"Quantity"</f>
        <v>Quantity</v>
      </c>
      <c r="I12" t="str">
        <f>"Price"</f>
        <v>Price</v>
      </c>
      <c r="J12" t="str">
        <f>"Cost Basis"</f>
        <v>Cost Basis</v>
      </c>
      <c r="K12" t="str">
        <f>"Value"</f>
        <v>Value</v>
      </c>
      <c r="L12" t="str">
        <f>"Unrealized Gain/Loss"</f>
        <v>Unrealized Gain/Loss</v>
      </c>
      <c r="M12" t="str">
        <f>"Accrued Income"</f>
        <v>Accrued Income</v>
      </c>
    </row>
    <row r="13" spans="1:18" x14ac:dyDescent="0.2">
      <c r="A13" s="1">
        <v>44985</v>
      </c>
      <c r="B13" t="s">
        <v>66</v>
      </c>
      <c r="C13" t="str">
        <f t="shared" ref="C13:C52" si="0">"Yes"</f>
        <v>Yes</v>
      </c>
      <c r="D13" t="str">
        <f t="shared" ref="D13:D48" si="1">"Equities"</f>
        <v>Equities</v>
      </c>
      <c r="E13" t="str">
        <f>"GOOGL"</f>
        <v>GOOGL</v>
      </c>
      <c r="F13" t="str">
        <f>"Alphabet Inc"</f>
        <v>Alphabet Inc</v>
      </c>
      <c r="G13" s="59">
        <v>3.0800000000000001E-2</v>
      </c>
      <c r="H13" s="2">
        <v>6500</v>
      </c>
      <c r="I13">
        <v>90.06</v>
      </c>
      <c r="J13" s="2">
        <v>408887.31</v>
      </c>
      <c r="K13" s="2">
        <v>585390</v>
      </c>
      <c r="L13" s="2">
        <v>176502.69</v>
      </c>
      <c r="M13" t="str">
        <f>""</f>
        <v/>
      </c>
    </row>
    <row r="14" spans="1:18" x14ac:dyDescent="0.2">
      <c r="A14" s="1">
        <v>44985</v>
      </c>
      <c r="B14" t="s">
        <v>66</v>
      </c>
      <c r="C14" t="str">
        <f t="shared" si="0"/>
        <v>Yes</v>
      </c>
      <c r="D14" t="str">
        <f t="shared" si="1"/>
        <v>Equities</v>
      </c>
      <c r="E14" t="str">
        <f>"ATEX"</f>
        <v>ATEX</v>
      </c>
      <c r="F14" t="str">
        <f>"Anterix Inc"</f>
        <v>Anterix Inc</v>
      </c>
      <c r="G14" s="59">
        <v>1.2999999999999999E-2</v>
      </c>
      <c r="H14" s="2">
        <v>8180</v>
      </c>
      <c r="I14">
        <v>30.2</v>
      </c>
      <c r="J14" s="2">
        <v>482764.56</v>
      </c>
      <c r="K14" s="2">
        <v>247036</v>
      </c>
      <c r="L14" s="2">
        <v>-235728.56</v>
      </c>
      <c r="M14" t="str">
        <f>""</f>
        <v/>
      </c>
    </row>
    <row r="15" spans="1:18" x14ac:dyDescent="0.2">
      <c r="A15" s="1">
        <v>44985</v>
      </c>
      <c r="B15" t="s">
        <v>66</v>
      </c>
      <c r="C15" t="str">
        <f t="shared" si="0"/>
        <v>Yes</v>
      </c>
      <c r="D15" t="str">
        <f t="shared" si="1"/>
        <v>Equities</v>
      </c>
      <c r="E15" t="str">
        <f>"AON"</f>
        <v>AON</v>
      </c>
      <c r="F15" t="str">
        <f>"Aon PLC"</f>
        <v>Aon PLC</v>
      </c>
      <c r="G15" s="59">
        <v>3.2800000000000003E-2</v>
      </c>
      <c r="H15" s="2">
        <v>2047</v>
      </c>
      <c r="I15">
        <v>304.05</v>
      </c>
      <c r="J15" s="2">
        <v>215573.09</v>
      </c>
      <c r="K15" s="2">
        <v>622390.35</v>
      </c>
      <c r="L15" s="2">
        <v>406817.26</v>
      </c>
      <c r="M15" t="str">
        <f>""</f>
        <v/>
      </c>
    </row>
    <row r="16" spans="1:18" x14ac:dyDescent="0.2">
      <c r="A16" s="1">
        <v>44985</v>
      </c>
      <c r="B16" t="s">
        <v>66</v>
      </c>
      <c r="C16" t="str">
        <f t="shared" si="0"/>
        <v>Yes</v>
      </c>
      <c r="D16" t="str">
        <f t="shared" si="1"/>
        <v>Equities</v>
      </c>
      <c r="E16" t="str">
        <f>"APG"</f>
        <v>APG</v>
      </c>
      <c r="F16" t="str">
        <f>"API Group Corp"</f>
        <v>API Group Corp</v>
      </c>
      <c r="G16" s="59">
        <v>2.9399999999999999E-2</v>
      </c>
      <c r="H16" s="2">
        <v>23785</v>
      </c>
      <c r="I16">
        <v>23.49</v>
      </c>
      <c r="J16" s="2">
        <v>445593.06</v>
      </c>
      <c r="K16" s="2">
        <v>558709.65</v>
      </c>
      <c r="L16" s="2">
        <v>113116.59</v>
      </c>
      <c r="M16" t="str">
        <f>""</f>
        <v/>
      </c>
    </row>
    <row r="17" spans="1:13" x14ac:dyDescent="0.2">
      <c r="A17" s="1">
        <v>44985</v>
      </c>
      <c r="B17" t="s">
        <v>66</v>
      </c>
      <c r="C17" t="str">
        <f t="shared" si="0"/>
        <v>Yes</v>
      </c>
      <c r="D17" t="str">
        <f t="shared" si="1"/>
        <v>Equities</v>
      </c>
      <c r="E17" t="str">
        <f>"AZO"</f>
        <v>AZO</v>
      </c>
      <c r="F17" t="str">
        <f>"AutoZone Inc"</f>
        <v>AutoZone Inc</v>
      </c>
      <c r="G17" s="59">
        <v>6.08E-2</v>
      </c>
      <c r="H17">
        <v>464</v>
      </c>
      <c r="I17" s="2">
        <v>2486.54</v>
      </c>
      <c r="J17" s="2">
        <v>188786.89</v>
      </c>
      <c r="K17" s="2">
        <v>1153754.56</v>
      </c>
      <c r="L17" s="2">
        <v>964967.67</v>
      </c>
      <c r="M17" t="str">
        <f>""</f>
        <v/>
      </c>
    </row>
    <row r="18" spans="1:13" x14ac:dyDescent="0.2">
      <c r="A18" s="1">
        <v>44985</v>
      </c>
      <c r="B18" t="s">
        <v>66</v>
      </c>
      <c r="C18" t="str">
        <f t="shared" si="0"/>
        <v>Yes</v>
      </c>
      <c r="D18" t="str">
        <f t="shared" si="1"/>
        <v>Equities</v>
      </c>
      <c r="E18" t="str">
        <f>"AVGO"</f>
        <v>AVGO</v>
      </c>
      <c r="F18" t="str">
        <f>"Broadcom Inc"</f>
        <v>Broadcom Inc</v>
      </c>
      <c r="G18" s="59">
        <v>4.5600000000000002E-2</v>
      </c>
      <c r="H18" s="2">
        <v>1458</v>
      </c>
      <c r="I18">
        <v>594.29</v>
      </c>
      <c r="J18" s="2">
        <v>369505.1</v>
      </c>
      <c r="K18" s="2">
        <v>866474.82</v>
      </c>
      <c r="L18" s="2">
        <v>496969.72</v>
      </c>
      <c r="M18" t="str">
        <f>""</f>
        <v/>
      </c>
    </row>
    <row r="19" spans="1:13" x14ac:dyDescent="0.2">
      <c r="A19" s="1">
        <v>44985</v>
      </c>
      <c r="B19" t="s">
        <v>66</v>
      </c>
      <c r="C19" t="str">
        <f t="shared" si="0"/>
        <v>Yes</v>
      </c>
      <c r="D19" t="str">
        <f t="shared" si="1"/>
        <v>Equities</v>
      </c>
      <c r="E19" t="str">
        <f>"BAM"</f>
        <v>BAM</v>
      </c>
      <c r="F19" t="str">
        <f>"Brookfield Asset Management Inc Class A"</f>
        <v>Brookfield Asset Management Inc Class A</v>
      </c>
      <c r="G19" s="59">
        <v>4.8999999999999998E-3</v>
      </c>
      <c r="H19" s="2">
        <v>2732</v>
      </c>
      <c r="I19">
        <v>33.619999999999997</v>
      </c>
      <c r="J19" s="2">
        <v>99989.46</v>
      </c>
      <c r="K19" s="2">
        <v>91849.84</v>
      </c>
      <c r="L19" s="2">
        <v>-8139.62</v>
      </c>
      <c r="M19" s="2">
        <v>1065.48</v>
      </c>
    </row>
    <row r="20" spans="1:13" x14ac:dyDescent="0.2">
      <c r="A20" s="1">
        <v>44985</v>
      </c>
      <c r="B20" t="s">
        <v>66</v>
      </c>
      <c r="C20" t="str">
        <f t="shared" si="0"/>
        <v>Yes</v>
      </c>
      <c r="D20" t="str">
        <f t="shared" si="1"/>
        <v>Equities</v>
      </c>
      <c r="E20" t="str">
        <f>"BN"</f>
        <v>BN</v>
      </c>
      <c r="F20" t="str">
        <f>"Brookfield Corp"</f>
        <v>Brookfield Corp</v>
      </c>
      <c r="G20" s="59">
        <v>1.9199999999999998E-2</v>
      </c>
      <c r="H20" s="2">
        <v>10930</v>
      </c>
      <c r="I20">
        <v>33.25</v>
      </c>
      <c r="J20" s="2">
        <v>434258.27</v>
      </c>
      <c r="K20" s="2">
        <v>363422.5</v>
      </c>
      <c r="L20" s="2">
        <v>-70835.77</v>
      </c>
      <c r="M20">
        <v>765.1</v>
      </c>
    </row>
    <row r="21" spans="1:13" x14ac:dyDescent="0.2">
      <c r="A21" s="1">
        <v>44985</v>
      </c>
      <c r="B21" t="s">
        <v>66</v>
      </c>
      <c r="C21" t="str">
        <f t="shared" si="0"/>
        <v>Yes</v>
      </c>
      <c r="D21" t="str">
        <f t="shared" si="1"/>
        <v>Equities</v>
      </c>
      <c r="E21" t="str">
        <f>"CP"</f>
        <v>CP</v>
      </c>
      <c r="F21" t="str">
        <f>"Canadian Pacific Railway Ltd"</f>
        <v>Canadian Pacific Railway Ltd</v>
      </c>
      <c r="G21" s="59">
        <v>2.5700000000000001E-2</v>
      </c>
      <c r="H21" s="2">
        <v>6420</v>
      </c>
      <c r="I21">
        <v>75.94</v>
      </c>
      <c r="J21" s="2">
        <v>472712.36</v>
      </c>
      <c r="K21" s="2">
        <v>487534.8</v>
      </c>
      <c r="L21" s="2">
        <v>14822.44</v>
      </c>
      <c r="M21" t="str">
        <f>""</f>
        <v/>
      </c>
    </row>
    <row r="22" spans="1:13" x14ac:dyDescent="0.2">
      <c r="A22" s="1">
        <v>44985</v>
      </c>
      <c r="B22" t="s">
        <v>66</v>
      </c>
      <c r="C22" t="str">
        <f t="shared" si="0"/>
        <v>Yes</v>
      </c>
      <c r="D22" t="str">
        <f t="shared" si="1"/>
        <v>Equities</v>
      </c>
      <c r="E22" t="str">
        <f>"CIGI"</f>
        <v>CIGI</v>
      </c>
      <c r="F22" t="str">
        <f>"Colliers International Group"</f>
        <v>Colliers International Group</v>
      </c>
      <c r="G22" s="59">
        <v>4.5900000000000003E-2</v>
      </c>
      <c r="H22" s="2">
        <v>7529</v>
      </c>
      <c r="I22">
        <v>115.82</v>
      </c>
      <c r="J22" s="2">
        <v>334089.28999999998</v>
      </c>
      <c r="K22" s="2">
        <v>872008.78</v>
      </c>
      <c r="L22" s="2">
        <v>537919.49</v>
      </c>
      <c r="M22" t="str">
        <f>""</f>
        <v/>
      </c>
    </row>
    <row r="23" spans="1:13" x14ac:dyDescent="0.2">
      <c r="A23" s="1">
        <v>44985</v>
      </c>
      <c r="B23" t="s">
        <v>66</v>
      </c>
      <c r="C23" t="str">
        <f t="shared" si="0"/>
        <v>Yes</v>
      </c>
      <c r="D23" t="str">
        <f t="shared" si="1"/>
        <v>Equities</v>
      </c>
      <c r="E23" t="str">
        <f>"CTRA"</f>
        <v>CTRA</v>
      </c>
      <c r="F23" t="str">
        <f>"Coterra Energy Inc"</f>
        <v>Coterra Energy Inc</v>
      </c>
      <c r="G23" s="59">
        <v>2.3400000000000001E-2</v>
      </c>
      <c r="H23" s="2">
        <v>17770</v>
      </c>
      <c r="I23">
        <v>24.97</v>
      </c>
      <c r="J23" s="2">
        <v>506484.12</v>
      </c>
      <c r="K23" s="2">
        <v>443716.9</v>
      </c>
      <c r="L23" s="2">
        <v>-62767.22</v>
      </c>
      <c r="M23" t="str">
        <f>""</f>
        <v/>
      </c>
    </row>
    <row r="24" spans="1:13" x14ac:dyDescent="0.2">
      <c r="A24" s="1">
        <v>44985</v>
      </c>
      <c r="B24" t="s">
        <v>66</v>
      </c>
      <c r="C24" t="str">
        <f t="shared" si="0"/>
        <v>Yes</v>
      </c>
      <c r="D24" t="str">
        <f t="shared" si="1"/>
        <v>Equities</v>
      </c>
      <c r="E24" t="str">
        <f>"DLTR"</f>
        <v>DLTR</v>
      </c>
      <c r="F24" t="str">
        <f>"Dollar Tree Inc"</f>
        <v>Dollar Tree Inc</v>
      </c>
      <c r="G24" s="59">
        <v>3.6499999999999998E-2</v>
      </c>
      <c r="H24" s="2">
        <v>4765</v>
      </c>
      <c r="I24">
        <v>145.28</v>
      </c>
      <c r="J24" s="2">
        <v>178298.13</v>
      </c>
      <c r="K24" s="2">
        <v>692259.2</v>
      </c>
      <c r="L24" s="2">
        <v>513961.07</v>
      </c>
      <c r="M24" t="str">
        <f>""</f>
        <v/>
      </c>
    </row>
    <row r="25" spans="1:13" x14ac:dyDescent="0.2">
      <c r="A25" s="1">
        <v>44985</v>
      </c>
      <c r="B25" t="s">
        <v>66</v>
      </c>
      <c r="C25" t="str">
        <f t="shared" si="0"/>
        <v>Yes</v>
      </c>
      <c r="D25" t="str">
        <f t="shared" si="1"/>
        <v>Equities</v>
      </c>
      <c r="E25" t="str">
        <f>"DBX"</f>
        <v>DBX</v>
      </c>
      <c r="F25" t="str">
        <f>"Dropbox Inc"</f>
        <v>Dropbox Inc</v>
      </c>
      <c r="G25" s="59">
        <v>1.49E-2</v>
      </c>
      <c r="H25" s="2">
        <v>13860</v>
      </c>
      <c r="I25">
        <v>20.399999999999999</v>
      </c>
      <c r="J25" s="2">
        <v>295687.58</v>
      </c>
      <c r="K25" s="2">
        <v>282744</v>
      </c>
      <c r="L25" s="2">
        <v>-12943.58</v>
      </c>
      <c r="M25" t="str">
        <f>""</f>
        <v/>
      </c>
    </row>
    <row r="26" spans="1:13" x14ac:dyDescent="0.2">
      <c r="A26" s="1">
        <v>44985</v>
      </c>
      <c r="B26" t="s">
        <v>66</v>
      </c>
      <c r="C26" t="str">
        <f t="shared" si="0"/>
        <v>Yes</v>
      </c>
      <c r="D26" t="str">
        <f t="shared" si="1"/>
        <v>Equities</v>
      </c>
      <c r="E26" t="str">
        <f>"EBAY"</f>
        <v>EBAY</v>
      </c>
      <c r="F26" t="str">
        <f>"eBay Inc"</f>
        <v>eBay Inc</v>
      </c>
      <c r="G26" s="59">
        <v>1.78E-2</v>
      </c>
      <c r="H26" s="2">
        <v>7365</v>
      </c>
      <c r="I26">
        <v>45.9</v>
      </c>
      <c r="J26" s="2">
        <v>298766.13</v>
      </c>
      <c r="K26" s="2">
        <v>338053.5</v>
      </c>
      <c r="L26" s="2">
        <v>39287.370000000003</v>
      </c>
      <c r="M26" t="str">
        <f>""</f>
        <v/>
      </c>
    </row>
    <row r="27" spans="1:13" x14ac:dyDescent="0.2">
      <c r="A27" s="1">
        <v>44985</v>
      </c>
      <c r="B27" t="s">
        <v>66</v>
      </c>
      <c r="C27" t="str">
        <f t="shared" si="0"/>
        <v>Yes</v>
      </c>
      <c r="D27" t="str">
        <f t="shared" si="1"/>
        <v>Equities</v>
      </c>
      <c r="E27" t="str">
        <f>"EME"</f>
        <v>EME</v>
      </c>
      <c r="F27" t="str">
        <f>"EMCOR Group Inc"</f>
        <v>EMCOR Group Inc</v>
      </c>
      <c r="G27" s="59">
        <v>5.1499999999999997E-2</v>
      </c>
      <c r="H27" s="2">
        <v>5842</v>
      </c>
      <c r="I27">
        <v>167.22</v>
      </c>
      <c r="J27" s="2">
        <v>154194.78</v>
      </c>
      <c r="K27" s="2">
        <v>976899.24</v>
      </c>
      <c r="L27" s="2">
        <v>822704.46</v>
      </c>
      <c r="M27" t="str">
        <f>""</f>
        <v/>
      </c>
    </row>
    <row r="28" spans="1:13" x14ac:dyDescent="0.2">
      <c r="A28" s="1">
        <v>44985</v>
      </c>
      <c r="B28" t="s">
        <v>66</v>
      </c>
      <c r="C28" t="str">
        <f t="shared" si="0"/>
        <v>Yes</v>
      </c>
      <c r="D28" t="str">
        <f t="shared" si="1"/>
        <v>Equities</v>
      </c>
      <c r="E28" t="str">
        <f>"F"</f>
        <v>F</v>
      </c>
      <c r="F28" t="str">
        <f>"Ford Motor Co"</f>
        <v>Ford Motor Co</v>
      </c>
      <c r="G28" s="59">
        <v>1.41E-2</v>
      </c>
      <c r="H28" s="2">
        <v>22130</v>
      </c>
      <c r="I28">
        <v>12.07</v>
      </c>
      <c r="J28" s="2">
        <v>348511.25</v>
      </c>
      <c r="K28" s="2">
        <v>267109.09999999998</v>
      </c>
      <c r="L28" s="2">
        <v>-81402.149999999994</v>
      </c>
      <c r="M28" t="str">
        <f>""</f>
        <v/>
      </c>
    </row>
    <row r="29" spans="1:13" x14ac:dyDescent="0.2">
      <c r="A29" s="1">
        <v>44985</v>
      </c>
      <c r="B29" t="s">
        <v>66</v>
      </c>
      <c r="C29" t="str">
        <f t="shared" si="0"/>
        <v>Yes</v>
      </c>
      <c r="D29" t="str">
        <f t="shared" si="1"/>
        <v>Equities</v>
      </c>
      <c r="E29" t="str">
        <f>"GXO"</f>
        <v>GXO</v>
      </c>
      <c r="F29" t="str">
        <f>"GXO Logistics Inc"</f>
        <v>GXO Logistics Inc</v>
      </c>
      <c r="G29" s="59">
        <v>1.38E-2</v>
      </c>
      <c r="H29" s="2">
        <v>5286</v>
      </c>
      <c r="I29">
        <v>49.57</v>
      </c>
      <c r="J29" s="2">
        <v>159609.37</v>
      </c>
      <c r="K29" s="2">
        <v>262027.02</v>
      </c>
      <c r="L29" s="2">
        <v>102417.65</v>
      </c>
      <c r="M29" t="str">
        <f>""</f>
        <v/>
      </c>
    </row>
    <row r="30" spans="1:13" x14ac:dyDescent="0.2">
      <c r="A30" s="1">
        <v>44985</v>
      </c>
      <c r="B30" t="s">
        <v>66</v>
      </c>
      <c r="C30" t="str">
        <f t="shared" si="0"/>
        <v>Yes</v>
      </c>
      <c r="D30" t="str">
        <f t="shared" si="1"/>
        <v>Equities</v>
      </c>
      <c r="E30" t="str">
        <f>"ICUI"</f>
        <v>ICUI</v>
      </c>
      <c r="F30" t="str">
        <f>"ICU Medical Inc"</f>
        <v>ICU Medical Inc</v>
      </c>
      <c r="G30" s="59">
        <v>1.38E-2</v>
      </c>
      <c r="H30" s="2">
        <v>1530</v>
      </c>
      <c r="I30">
        <v>170.64</v>
      </c>
      <c r="J30" s="2">
        <v>282337.39</v>
      </c>
      <c r="K30" s="2">
        <v>261079.2</v>
      </c>
      <c r="L30" s="2">
        <v>-21258.19</v>
      </c>
      <c r="M30" t="str">
        <f>""</f>
        <v/>
      </c>
    </row>
    <row r="31" spans="1:13" x14ac:dyDescent="0.2">
      <c r="A31" s="1">
        <v>44985</v>
      </c>
      <c r="B31" t="s">
        <v>66</v>
      </c>
      <c r="C31" t="str">
        <f t="shared" si="0"/>
        <v>Yes</v>
      </c>
      <c r="D31" t="str">
        <f t="shared" si="1"/>
        <v>Equities</v>
      </c>
      <c r="E31" t="str">
        <f>"INMD"</f>
        <v>INMD</v>
      </c>
      <c r="F31" t="str">
        <f>"InMode Ltd"</f>
        <v>InMode Ltd</v>
      </c>
      <c r="G31" s="59">
        <v>2.0199999999999999E-2</v>
      </c>
      <c r="H31" s="2">
        <v>10860</v>
      </c>
      <c r="I31">
        <v>35.31</v>
      </c>
      <c r="J31" s="2">
        <v>384495.46</v>
      </c>
      <c r="K31" s="2">
        <v>383466.6</v>
      </c>
      <c r="L31" s="2">
        <v>-1028.8599999999999</v>
      </c>
      <c r="M31" t="str">
        <f>""</f>
        <v/>
      </c>
    </row>
    <row r="32" spans="1:13" x14ac:dyDescent="0.2">
      <c r="A32" s="1">
        <v>44985</v>
      </c>
      <c r="B32" t="s">
        <v>66</v>
      </c>
      <c r="C32" t="str">
        <f t="shared" si="0"/>
        <v>Yes</v>
      </c>
      <c r="D32" t="str">
        <f t="shared" si="1"/>
        <v>Equities</v>
      </c>
      <c r="E32" t="str">
        <f>"IOSP"</f>
        <v>IOSP</v>
      </c>
      <c r="F32" t="str">
        <f>"Innospec Inc"</f>
        <v>Innospec Inc</v>
      </c>
      <c r="G32" s="59">
        <v>2.69E-2</v>
      </c>
      <c r="H32" s="2">
        <v>4666</v>
      </c>
      <c r="I32">
        <v>109.46</v>
      </c>
      <c r="J32" s="2">
        <v>195932.01</v>
      </c>
      <c r="K32" s="2">
        <v>510740.36</v>
      </c>
      <c r="L32" s="2">
        <v>314808.34999999998</v>
      </c>
      <c r="M32" t="str">
        <f>""</f>
        <v/>
      </c>
    </row>
    <row r="33" spans="1:13" x14ac:dyDescent="0.2">
      <c r="A33" s="1">
        <v>44985</v>
      </c>
      <c r="B33" t="s">
        <v>66</v>
      </c>
      <c r="C33" t="str">
        <f t="shared" si="0"/>
        <v>Yes</v>
      </c>
      <c r="D33" t="str">
        <f t="shared" si="1"/>
        <v>Equities</v>
      </c>
      <c r="E33" t="str">
        <f>"LSXMA"</f>
        <v>LSXMA</v>
      </c>
      <c r="F33" t="str">
        <f>"Liberty SiriusXM Group A"</f>
        <v>Liberty SiriusXM Group A</v>
      </c>
      <c r="G33" s="59">
        <v>5.0000000000000001E-3</v>
      </c>
      <c r="H33" s="2">
        <v>2902</v>
      </c>
      <c r="I33">
        <v>32.39</v>
      </c>
      <c r="J33" s="2">
        <v>33269.550000000003</v>
      </c>
      <c r="K33" s="2">
        <v>93995.78</v>
      </c>
      <c r="L33" s="2">
        <v>60726.23</v>
      </c>
      <c r="M33" t="str">
        <f>""</f>
        <v/>
      </c>
    </row>
    <row r="34" spans="1:13" x14ac:dyDescent="0.2">
      <c r="A34" s="1">
        <v>44985</v>
      </c>
      <c r="B34" t="s">
        <v>66</v>
      </c>
      <c r="C34" t="str">
        <f t="shared" si="0"/>
        <v>Yes</v>
      </c>
      <c r="D34" t="str">
        <f t="shared" si="1"/>
        <v>Equities</v>
      </c>
      <c r="E34" t="str">
        <f>"LSXMK"</f>
        <v>LSXMK</v>
      </c>
      <c r="F34" t="str">
        <f>"Liberty SiriusXM Group C"</f>
        <v>Liberty SiriusXM Group C</v>
      </c>
      <c r="G34" s="59">
        <v>1.17E-2</v>
      </c>
      <c r="H34" s="2">
        <v>6892</v>
      </c>
      <c r="I34">
        <v>32.22</v>
      </c>
      <c r="J34" s="2">
        <v>122670.91</v>
      </c>
      <c r="K34" s="2">
        <v>222060.24</v>
      </c>
      <c r="L34" s="2">
        <v>99389.33</v>
      </c>
      <c r="M34" t="str">
        <f>""</f>
        <v/>
      </c>
    </row>
    <row r="35" spans="1:13" x14ac:dyDescent="0.2">
      <c r="A35" s="1">
        <v>44985</v>
      </c>
      <c r="B35" t="s">
        <v>66</v>
      </c>
      <c r="C35" t="str">
        <f t="shared" si="0"/>
        <v>Yes</v>
      </c>
      <c r="D35" t="str">
        <f t="shared" si="1"/>
        <v>Equities</v>
      </c>
      <c r="E35" t="str">
        <f>"MPC"</f>
        <v>MPC</v>
      </c>
      <c r="F35" t="str">
        <f>"Marathon Petroleum Corp"</f>
        <v>Marathon Petroleum Corp</v>
      </c>
      <c r="G35" s="59">
        <v>5.4199999999999998E-2</v>
      </c>
      <c r="H35" s="2">
        <v>8324</v>
      </c>
      <c r="I35">
        <v>123.6</v>
      </c>
      <c r="J35" s="2">
        <v>384727.06</v>
      </c>
      <c r="K35" s="2">
        <v>1028846.4</v>
      </c>
      <c r="L35" s="2">
        <v>644119.34</v>
      </c>
      <c r="M35" t="str">
        <f>""</f>
        <v/>
      </c>
    </row>
    <row r="36" spans="1:13" x14ac:dyDescent="0.2">
      <c r="A36" s="1">
        <v>44985</v>
      </c>
      <c r="B36" t="s">
        <v>66</v>
      </c>
      <c r="C36" t="str">
        <f t="shared" si="0"/>
        <v>Yes</v>
      </c>
      <c r="D36" t="str">
        <f t="shared" si="1"/>
        <v>Equities</v>
      </c>
      <c r="E36" t="str">
        <f>"MKL"</f>
        <v>MKL</v>
      </c>
      <c r="F36" t="str">
        <f>"Markel Corp"</f>
        <v>Markel Corp</v>
      </c>
      <c r="G36" s="59">
        <v>2.6599999999999999E-2</v>
      </c>
      <c r="H36">
        <v>380</v>
      </c>
      <c r="I36" s="2">
        <v>1329.86</v>
      </c>
      <c r="J36" s="2">
        <v>234941.23</v>
      </c>
      <c r="K36" s="2">
        <v>505346.8</v>
      </c>
      <c r="L36" s="2">
        <v>270405.57</v>
      </c>
      <c r="M36" t="str">
        <f>""</f>
        <v/>
      </c>
    </row>
    <row r="37" spans="1:13" x14ac:dyDescent="0.2">
      <c r="A37" s="1">
        <v>44985</v>
      </c>
      <c r="B37" t="s">
        <v>66</v>
      </c>
      <c r="C37" t="str">
        <f t="shared" si="0"/>
        <v>Yes</v>
      </c>
      <c r="D37" t="str">
        <f t="shared" si="1"/>
        <v>Equities</v>
      </c>
      <c r="E37" t="str">
        <f>"MTZ"</f>
        <v>MTZ</v>
      </c>
      <c r="F37" t="str">
        <f>"MasTec Inc"</f>
        <v>MasTec Inc</v>
      </c>
      <c r="G37" s="59">
        <v>5.8900000000000001E-2</v>
      </c>
      <c r="H37" s="2">
        <v>11453</v>
      </c>
      <c r="I37">
        <v>97.72</v>
      </c>
      <c r="J37" s="2">
        <v>234752.59</v>
      </c>
      <c r="K37" s="2">
        <v>1119187.1599999999</v>
      </c>
      <c r="L37" s="2">
        <v>884434.57</v>
      </c>
      <c r="M37" t="str">
        <f>""</f>
        <v/>
      </c>
    </row>
    <row r="38" spans="1:13" x14ac:dyDescent="0.2">
      <c r="A38" s="1">
        <v>44985</v>
      </c>
      <c r="B38" t="s">
        <v>66</v>
      </c>
      <c r="C38" t="str">
        <f t="shared" si="0"/>
        <v>Yes</v>
      </c>
      <c r="D38" t="str">
        <f t="shared" si="1"/>
        <v>Equities</v>
      </c>
      <c r="E38" t="str">
        <f>"PXD"</f>
        <v>PXD</v>
      </c>
      <c r="F38" t="str">
        <f>"Pioneer Natural Resources Co"</f>
        <v>Pioneer Natural Resources Co</v>
      </c>
      <c r="G38" s="59">
        <v>1.2E-2</v>
      </c>
      <c r="H38" s="2">
        <v>1135</v>
      </c>
      <c r="I38">
        <v>200.41</v>
      </c>
      <c r="J38" s="2">
        <v>257296.1</v>
      </c>
      <c r="K38" s="2">
        <v>227465.35</v>
      </c>
      <c r="L38" s="2">
        <v>-29830.75</v>
      </c>
      <c r="M38" t="str">
        <f>""</f>
        <v/>
      </c>
    </row>
    <row r="39" spans="1:13" x14ac:dyDescent="0.2">
      <c r="A39" s="1">
        <v>44985</v>
      </c>
      <c r="B39" t="s">
        <v>66</v>
      </c>
      <c r="C39" t="str">
        <f t="shared" si="0"/>
        <v>Yes</v>
      </c>
      <c r="D39" t="str">
        <f t="shared" si="1"/>
        <v>Equities</v>
      </c>
      <c r="E39" t="str">
        <f>"RSG"</f>
        <v>RSG</v>
      </c>
      <c r="F39" t="str">
        <f>"Republic Services Inc"</f>
        <v>Republic Services Inc</v>
      </c>
      <c r="G39" s="59">
        <v>3.15E-2</v>
      </c>
      <c r="H39" s="2">
        <v>4635</v>
      </c>
      <c r="I39">
        <v>128.93</v>
      </c>
      <c r="J39" s="2">
        <v>378463.67</v>
      </c>
      <c r="K39" s="2">
        <v>597590.55000000005</v>
      </c>
      <c r="L39" s="2">
        <v>219126.88</v>
      </c>
      <c r="M39" t="str">
        <f>""</f>
        <v/>
      </c>
    </row>
    <row r="40" spans="1:13" x14ac:dyDescent="0.2">
      <c r="A40" s="1">
        <v>44985</v>
      </c>
      <c r="B40" t="s">
        <v>66</v>
      </c>
      <c r="C40" t="str">
        <f t="shared" si="0"/>
        <v>Yes</v>
      </c>
      <c r="D40" t="str">
        <f t="shared" si="1"/>
        <v>Equities</v>
      </c>
      <c r="E40" t="str">
        <f>"RXO"</f>
        <v>RXO</v>
      </c>
      <c r="F40" t="str">
        <f>"RXO Inc"</f>
        <v>RXO Inc</v>
      </c>
      <c r="G40" s="59">
        <v>1.66E-2</v>
      </c>
      <c r="H40" s="2">
        <v>15286</v>
      </c>
      <c r="I40">
        <v>20.57</v>
      </c>
      <c r="J40" s="2">
        <v>170614.01</v>
      </c>
      <c r="K40" s="2">
        <v>314433.02</v>
      </c>
      <c r="L40" s="2">
        <v>143819.01</v>
      </c>
      <c r="M40" t="str">
        <f>""</f>
        <v/>
      </c>
    </row>
    <row r="41" spans="1:13" x14ac:dyDescent="0.2">
      <c r="A41" s="1">
        <v>44985</v>
      </c>
      <c r="B41" t="s">
        <v>66</v>
      </c>
      <c r="C41" t="str">
        <f t="shared" si="0"/>
        <v>Yes</v>
      </c>
      <c r="D41" t="str">
        <f t="shared" si="1"/>
        <v>Equities</v>
      </c>
      <c r="E41" t="str">
        <f>"SSNC"</f>
        <v>SSNC</v>
      </c>
      <c r="F41" t="str">
        <f>"SS&amp;C Technologies Holdings Inc"</f>
        <v>SS&amp;C Technologies Holdings Inc</v>
      </c>
      <c r="G41" s="59">
        <v>2.2499999999999999E-2</v>
      </c>
      <c r="H41" s="2">
        <v>7247</v>
      </c>
      <c r="I41">
        <v>58.7</v>
      </c>
      <c r="J41" s="2">
        <v>379360</v>
      </c>
      <c r="K41" s="2">
        <v>425398.9</v>
      </c>
      <c r="L41" s="2">
        <v>46038.9</v>
      </c>
      <c r="M41" s="2">
        <v>1449.4</v>
      </c>
    </row>
    <row r="42" spans="1:13" x14ac:dyDescent="0.2">
      <c r="A42" s="1">
        <v>44985</v>
      </c>
      <c r="B42" t="s">
        <v>66</v>
      </c>
      <c r="C42" t="str">
        <f t="shared" si="0"/>
        <v>Yes</v>
      </c>
      <c r="D42" t="str">
        <f t="shared" si="1"/>
        <v>Equities</v>
      </c>
      <c r="E42" t="str">
        <f>"LRN"</f>
        <v>LRN</v>
      </c>
      <c r="F42" t="str">
        <f>"Stride Inc"</f>
        <v>Stride Inc</v>
      </c>
      <c r="G42" s="59">
        <v>4.4699999999999997E-2</v>
      </c>
      <c r="H42" s="2">
        <v>20000</v>
      </c>
      <c r="I42">
        <v>42.47</v>
      </c>
      <c r="J42" s="2">
        <v>585496.24</v>
      </c>
      <c r="K42" s="2">
        <v>849400</v>
      </c>
      <c r="L42" s="2">
        <v>263903.76</v>
      </c>
      <c r="M42" t="str">
        <f>""</f>
        <v/>
      </c>
    </row>
    <row r="43" spans="1:13" x14ac:dyDescent="0.2">
      <c r="A43" s="1">
        <v>44985</v>
      </c>
      <c r="B43" t="s">
        <v>66</v>
      </c>
      <c r="C43" t="str">
        <f t="shared" si="0"/>
        <v>Yes</v>
      </c>
      <c r="D43" t="str">
        <f t="shared" si="1"/>
        <v>Equities</v>
      </c>
      <c r="E43" t="str">
        <f>"BCO"</f>
        <v>BCO</v>
      </c>
      <c r="F43" t="str">
        <f>"The Brink's Co"</f>
        <v>The Brink's Co</v>
      </c>
      <c r="G43" s="59">
        <v>2.2499999999999999E-2</v>
      </c>
      <c r="H43" s="2">
        <v>6546</v>
      </c>
      <c r="I43">
        <v>65.25</v>
      </c>
      <c r="J43" s="2">
        <v>353721.91</v>
      </c>
      <c r="K43" s="2">
        <v>427126.5</v>
      </c>
      <c r="L43" s="2">
        <v>73404.59</v>
      </c>
      <c r="M43" t="str">
        <f>""</f>
        <v/>
      </c>
    </row>
    <row r="44" spans="1:13" x14ac:dyDescent="0.2">
      <c r="A44" s="1">
        <v>44985</v>
      </c>
      <c r="B44" t="s">
        <v>66</v>
      </c>
      <c r="C44" t="str">
        <f t="shared" si="0"/>
        <v>Yes</v>
      </c>
      <c r="D44" t="str">
        <f t="shared" si="1"/>
        <v>Equities</v>
      </c>
      <c r="E44" t="str">
        <f>"SHYF"</f>
        <v>SHYF</v>
      </c>
      <c r="F44" t="str">
        <f>"The Shyft Group Inc"</f>
        <v>The Shyft Group Inc</v>
      </c>
      <c r="G44" s="59">
        <v>2.07E-2</v>
      </c>
      <c r="H44" s="2">
        <v>15137</v>
      </c>
      <c r="I44">
        <v>25.93</v>
      </c>
      <c r="J44" s="2">
        <v>237484.22</v>
      </c>
      <c r="K44" s="2">
        <v>392502.41</v>
      </c>
      <c r="L44" s="2">
        <v>155018.19</v>
      </c>
      <c r="M44">
        <v>756.85</v>
      </c>
    </row>
    <row r="45" spans="1:13" x14ac:dyDescent="0.2">
      <c r="A45" s="1">
        <v>44985</v>
      </c>
      <c r="B45" t="s">
        <v>66</v>
      </c>
      <c r="C45" t="str">
        <f t="shared" si="0"/>
        <v>Yes</v>
      </c>
      <c r="D45" t="str">
        <f t="shared" si="1"/>
        <v>Equities</v>
      </c>
      <c r="E45" t="str">
        <f>"VC"</f>
        <v>VC</v>
      </c>
      <c r="F45" t="str">
        <f>"Visteon Corp"</f>
        <v>Visteon Corp</v>
      </c>
      <c r="G45" s="59">
        <v>3.39E-2</v>
      </c>
      <c r="H45" s="2">
        <v>3857</v>
      </c>
      <c r="I45">
        <v>167.04</v>
      </c>
      <c r="J45" s="2">
        <v>287903.07</v>
      </c>
      <c r="K45" s="2">
        <v>644273.28</v>
      </c>
      <c r="L45" s="2">
        <v>356370.21</v>
      </c>
      <c r="M45" t="str">
        <f>""</f>
        <v/>
      </c>
    </row>
    <row r="46" spans="1:13" x14ac:dyDescent="0.2">
      <c r="A46" s="1">
        <v>44985</v>
      </c>
      <c r="B46" t="s">
        <v>66</v>
      </c>
      <c r="C46" t="str">
        <f t="shared" si="0"/>
        <v>Yes</v>
      </c>
      <c r="D46" t="str">
        <f t="shared" si="1"/>
        <v>Equities</v>
      </c>
      <c r="E46" t="str">
        <f>"VST"</f>
        <v>VST</v>
      </c>
      <c r="F46" t="str">
        <f>"Vistra Corp"</f>
        <v>Vistra Corp</v>
      </c>
      <c r="G46" s="59">
        <v>2.12E-2</v>
      </c>
      <c r="H46" s="2">
        <v>18310</v>
      </c>
      <c r="I46">
        <v>21.99</v>
      </c>
      <c r="J46" s="2">
        <v>301200.28999999998</v>
      </c>
      <c r="K46" s="2">
        <v>402636.9</v>
      </c>
      <c r="L46" s="2">
        <v>101436.61</v>
      </c>
      <c r="M46" t="str">
        <f>""</f>
        <v/>
      </c>
    </row>
    <row r="47" spans="1:13" x14ac:dyDescent="0.2">
      <c r="A47" s="1">
        <v>44985</v>
      </c>
      <c r="B47" t="s">
        <v>66</v>
      </c>
      <c r="C47" t="str">
        <f t="shared" si="0"/>
        <v>Yes</v>
      </c>
      <c r="D47" t="str">
        <f t="shared" si="1"/>
        <v>Equities</v>
      </c>
      <c r="E47" t="str">
        <f>"VOYA"</f>
        <v>VOYA</v>
      </c>
      <c r="F47" t="str">
        <f>"Voya Financial Inc"</f>
        <v>Voya Financial Inc</v>
      </c>
      <c r="G47" s="59">
        <v>2.6800000000000001E-2</v>
      </c>
      <c r="H47" s="2">
        <v>6816</v>
      </c>
      <c r="I47">
        <v>74.489999999999995</v>
      </c>
      <c r="J47" s="2">
        <v>215066.63</v>
      </c>
      <c r="K47" s="2">
        <v>507723.84</v>
      </c>
      <c r="L47" s="2">
        <v>292657.21000000002</v>
      </c>
      <c r="M47" s="2">
        <v>1363.2</v>
      </c>
    </row>
    <row r="48" spans="1:13" x14ac:dyDescent="0.2">
      <c r="A48" s="1">
        <v>44985</v>
      </c>
      <c r="B48" t="s">
        <v>66</v>
      </c>
      <c r="C48" t="str">
        <f t="shared" si="0"/>
        <v>Yes</v>
      </c>
      <c r="D48" t="str">
        <f t="shared" si="1"/>
        <v>Equities</v>
      </c>
      <c r="E48" t="str">
        <f>"DIS"</f>
        <v>DIS</v>
      </c>
      <c r="F48" t="str">
        <f>"Walt Disney Co"</f>
        <v>Walt Disney Co</v>
      </c>
      <c r="G48" s="59">
        <v>1.01E-2</v>
      </c>
      <c r="H48" s="2">
        <v>1925</v>
      </c>
      <c r="I48">
        <v>99.61</v>
      </c>
      <c r="J48" s="2">
        <v>175433.53</v>
      </c>
      <c r="K48" s="2">
        <v>191749.25</v>
      </c>
      <c r="L48" s="2">
        <v>16315.72</v>
      </c>
      <c r="M48" t="str">
        <f>""</f>
        <v/>
      </c>
    </row>
    <row r="49" spans="1:13" x14ac:dyDescent="0.2">
      <c r="A49" s="1">
        <v>44985</v>
      </c>
      <c r="B49" t="s">
        <v>66</v>
      </c>
      <c r="C49" t="str">
        <f t="shared" si="0"/>
        <v>Yes</v>
      </c>
      <c r="D49" t="str">
        <f>"Cash &amp; Cash Equivalents"</f>
        <v>Cash &amp; Cash Equivalents</v>
      </c>
      <c r="E49" t="str">
        <f>"CASH"</f>
        <v>CASH</v>
      </c>
      <c r="F49" t="str">
        <f>"Cash"</f>
        <v>Cash</v>
      </c>
      <c r="G49" s="59">
        <v>4.0300000000000002E-2</v>
      </c>
      <c r="H49" t="str">
        <f>""</f>
        <v/>
      </c>
      <c r="I49" t="str">
        <f>""</f>
        <v/>
      </c>
      <c r="J49" s="2">
        <v>764389.77</v>
      </c>
      <c r="K49" s="2">
        <v>764389.77</v>
      </c>
      <c r="L49">
        <v>0</v>
      </c>
      <c r="M49" t="str">
        <f>""</f>
        <v/>
      </c>
    </row>
    <row r="50" spans="1:13" x14ac:dyDescent="0.2">
      <c r="A50" s="1">
        <v>44985</v>
      </c>
      <c r="B50" t="s">
        <v>66</v>
      </c>
      <c r="C50" t="str">
        <f t="shared" si="0"/>
        <v>Yes</v>
      </c>
      <c r="D50" t="str">
        <f>"Equities"</f>
        <v>Equities</v>
      </c>
      <c r="E50" t="str">
        <f>""</f>
        <v/>
      </c>
      <c r="F50" t="str">
        <f>"Subtotal"</f>
        <v>Subtotal</v>
      </c>
      <c r="G50" s="59">
        <v>0.9597</v>
      </c>
      <c r="H50" t="str">
        <f>""</f>
        <v/>
      </c>
      <c r="I50" t="str">
        <f>""</f>
        <v/>
      </c>
      <c r="J50" s="2">
        <v>10608876.619999999</v>
      </c>
      <c r="K50" s="2">
        <v>18221802.829999998</v>
      </c>
      <c r="L50" s="2">
        <v>7607526.1799999997</v>
      </c>
      <c r="M50" t="str">
        <f>""</f>
        <v/>
      </c>
    </row>
    <row r="51" spans="1:13" x14ac:dyDescent="0.2">
      <c r="A51" s="1">
        <v>44985</v>
      </c>
      <c r="B51" t="s">
        <v>66</v>
      </c>
      <c r="C51" t="str">
        <f t="shared" si="0"/>
        <v>Yes</v>
      </c>
      <c r="D51" t="str">
        <f>"Cash &amp; Cash Equivalents"</f>
        <v>Cash &amp; Cash Equivalents</v>
      </c>
      <c r="E51" t="str">
        <f>""</f>
        <v/>
      </c>
      <c r="F51" t="str">
        <f>"Subtotal"</f>
        <v>Subtotal</v>
      </c>
      <c r="G51" s="59">
        <v>4.0300000000000002E-2</v>
      </c>
      <c r="H51" t="str">
        <f>""</f>
        <v/>
      </c>
      <c r="I51" t="str">
        <f>""</f>
        <v/>
      </c>
      <c r="J51" s="2">
        <v>764389.77</v>
      </c>
      <c r="K51" s="2">
        <v>764389.77</v>
      </c>
      <c r="L51">
        <v>0</v>
      </c>
      <c r="M51" t="str">
        <f>""</f>
        <v/>
      </c>
    </row>
    <row r="52" spans="1:13" x14ac:dyDescent="0.2">
      <c r="A52" s="1">
        <v>44985</v>
      </c>
      <c r="B52" t="s">
        <v>66</v>
      </c>
      <c r="C52" t="str">
        <f t="shared" si="0"/>
        <v>Yes</v>
      </c>
      <c r="D52" t="str">
        <f>""</f>
        <v/>
      </c>
      <c r="E52" t="str">
        <f>""</f>
        <v/>
      </c>
      <c r="F52" t="str">
        <f>"Managed Assets Total"</f>
        <v>Managed Assets Total</v>
      </c>
      <c r="G52" s="59">
        <v>1</v>
      </c>
      <c r="H52" t="str">
        <f>""</f>
        <v/>
      </c>
      <c r="I52" t="str">
        <f>""</f>
        <v/>
      </c>
      <c r="J52" s="2">
        <v>11373266.390000001</v>
      </c>
      <c r="K52" s="2">
        <v>18986192.600000001</v>
      </c>
      <c r="L52" s="2">
        <v>7607526.1799999997</v>
      </c>
      <c r="M52" t="str">
        <f>""</f>
        <v/>
      </c>
    </row>
    <row r="53" spans="1:13" x14ac:dyDescent="0.2">
      <c r="A53" s="1">
        <v>44985</v>
      </c>
      <c r="B53" t="s">
        <v>66</v>
      </c>
      <c r="C53" t="str">
        <f>""</f>
        <v/>
      </c>
      <c r="D53" t="str">
        <f>""</f>
        <v/>
      </c>
      <c r="E53" t="str">
        <f>""</f>
        <v/>
      </c>
      <c r="F53" t="str">
        <f>"Total"</f>
        <v>Total</v>
      </c>
      <c r="G53" s="59">
        <v>1</v>
      </c>
      <c r="H53" t="str">
        <f>""</f>
        <v/>
      </c>
      <c r="I53" t="str">
        <f>""</f>
        <v/>
      </c>
      <c r="J53" s="2">
        <v>11373266.390000001</v>
      </c>
      <c r="K53" s="2">
        <v>18986192.600000001</v>
      </c>
      <c r="L53" s="2">
        <v>7607526.1799999997</v>
      </c>
      <c r="M53" t="str">
        <f>""</f>
        <v/>
      </c>
    </row>
    <row r="138" spans="11:11" x14ac:dyDescent="0.2">
      <c r="K138" s="1"/>
    </row>
  </sheetData>
  <pageMargins left="0.25" right="0.25" top="0.5" bottom="0.5" header="0.5" footer="0.5"/>
  <pageSetup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B666E-C4ED-416E-B642-69A065B4D6EF}">
  <dimension ref="A1:O17"/>
  <sheetViews>
    <sheetView workbookViewId="0">
      <selection activeCell="S11" sqref="S11"/>
    </sheetView>
  </sheetViews>
  <sheetFormatPr defaultRowHeight="12.75" x14ac:dyDescent="0.2"/>
  <sheetData>
    <row r="1" spans="1:15" ht="15" x14ac:dyDescent="0.25">
      <c r="D1" s="61" t="s">
        <v>67</v>
      </c>
    </row>
    <row r="2" spans="1:15" s="60" customFormat="1" ht="63.75" x14ac:dyDescent="0.2">
      <c r="A2" s="60" t="str">
        <f>"Account"</f>
        <v>Account</v>
      </c>
      <c r="B2" s="60" t="str">
        <f>"Account Name"</f>
        <v>Account Name</v>
      </c>
      <c r="C2" s="60" t="str">
        <f>"Benchmark Name"</f>
        <v>Benchmark Name</v>
      </c>
      <c r="D2" s="60" t="str">
        <f>"Previous Month Gross Return"</f>
        <v>Previous Month Gross Return</v>
      </c>
      <c r="E2" s="60" t="str">
        <f>"Previous Month Benchmark"</f>
        <v>Previous Month Benchmark</v>
      </c>
      <c r="F2" s="60" t="str">
        <f>"Prior Quarter Gross Return"</f>
        <v>Prior Quarter Gross Return</v>
      </c>
      <c r="G2" s="60" t="str">
        <f>"Prior Quarter Benchmark"</f>
        <v>Prior Quarter Benchmark</v>
      </c>
      <c r="H2" s="60" t="str">
        <f>"Previous 12 Months Gross Return"</f>
        <v>Previous 12 Months Gross Return</v>
      </c>
      <c r="I2" s="60" t="str">
        <f>"Previous 12 Months Benchmark"</f>
        <v>Previous 12 Months Benchmark</v>
      </c>
      <c r="J2" s="60" t="str">
        <f>"Previous 2 Years Gross Return"</f>
        <v>Previous 2 Years Gross Return</v>
      </c>
      <c r="K2" s="60" t="str">
        <f>"Previous 2 Years Benchmark"</f>
        <v>Previous 2 Years Benchmark</v>
      </c>
      <c r="L2" s="60" t="str">
        <f>"Previous 3 Years Gross Return"</f>
        <v>Previous 3 Years Gross Return</v>
      </c>
      <c r="M2" s="60" t="str">
        <f>"Previous 3 Years Benchmark"</f>
        <v>Previous 3 Years Benchmark</v>
      </c>
      <c r="N2" s="60" t="str">
        <f>"Previous 5 Years Gross Return"</f>
        <v>Previous 5 Years Gross Return</v>
      </c>
      <c r="O2" s="60" t="str">
        <f>"Previous 5 Years Benchmark"</f>
        <v>Previous 5 Years Benchmark</v>
      </c>
    </row>
    <row r="3" spans="1:15" x14ac:dyDescent="0.2">
      <c r="A3" t="s">
        <v>66</v>
      </c>
      <c r="B3" t="str">
        <f>"Indiana Public Employees' Retirement Fund"</f>
        <v>Indiana Public Employees' Retirement Fund</v>
      </c>
      <c r="C3" t="str">
        <f>""</f>
        <v/>
      </c>
      <c r="D3" s="62">
        <v>-1.95E-2</v>
      </c>
      <c r="F3" s="59">
        <v>9.7199999999999995E-2</v>
      </c>
      <c r="H3" s="62">
        <v>-2.07E-2</v>
      </c>
      <c r="J3" s="62">
        <v>6.0900000000000003E-2</v>
      </c>
      <c r="L3" s="62">
        <v>0.12670000000000001</v>
      </c>
      <c r="N3" s="62">
        <v>5.9499999999999997E-2</v>
      </c>
    </row>
    <row r="4" spans="1:15" x14ac:dyDescent="0.2">
      <c r="A4" t="s">
        <v>66</v>
      </c>
      <c r="B4" t="str">
        <f>"Indiana Public Employees' Retirement Fund"</f>
        <v>Indiana Public Employees' Retirement Fund</v>
      </c>
      <c r="C4" t="str">
        <f>"Russell 2500 (Benchmark)"</f>
        <v>Russell 2500 (Benchmark)</v>
      </c>
      <c r="E4" s="62">
        <v>-2.35E-2</v>
      </c>
      <c r="G4" s="59">
        <v>7.4300000000000005E-2</v>
      </c>
      <c r="I4" s="62">
        <v>-5.4100000000000002E-2</v>
      </c>
      <c r="K4" s="62">
        <v>-2.5499999999999998E-2</v>
      </c>
      <c r="M4" s="62">
        <v>0.115</v>
      </c>
      <c r="O4" s="62">
        <v>7.6700000000000004E-2</v>
      </c>
    </row>
    <row r="5" spans="1:15" x14ac:dyDescent="0.2">
      <c r="E5" s="59"/>
      <c r="G5" s="59"/>
      <c r="I5" s="59"/>
      <c r="K5" s="59"/>
      <c r="M5" s="59"/>
      <c r="O5" s="59"/>
    </row>
    <row r="6" spans="1:15" ht="63.75" x14ac:dyDescent="0.2">
      <c r="A6" s="60" t="str">
        <f>"Account"</f>
        <v>Account</v>
      </c>
      <c r="B6" s="60" t="str">
        <f>"Account Name"</f>
        <v>Account Name</v>
      </c>
      <c r="C6" s="60" t="str">
        <f>"Account Number"</f>
        <v>Account Number</v>
      </c>
      <c r="D6" s="60" t="str">
        <f>"Account Type"</f>
        <v>Account Type</v>
      </c>
      <c r="E6" s="60" t="str">
        <f>"Benchmark Name"</f>
        <v>Benchmark Name</v>
      </c>
      <c r="F6" s="63" t="str">
        <f>"8/22/2008 to 2/28/2023 Gross Return"</f>
        <v>8/22/2008 to 2/28/2023 Gross Return</v>
      </c>
      <c r="G6" s="63" t="str">
        <f>"8/22/2008 to 2/28/2023 Benchmark"</f>
        <v>8/22/2008 to 2/28/2023 Benchmark</v>
      </c>
      <c r="H6" s="60" t="str">
        <f>"Previous 3 Years Gross Return"</f>
        <v>Previous 3 Years Gross Return</v>
      </c>
      <c r="I6" s="60" t="str">
        <f>"Previous 3 Years Benchmark"</f>
        <v>Previous 3 Years Benchmark</v>
      </c>
      <c r="J6" s="60" t="str">
        <f>"Previous 5 Years Gross Return"</f>
        <v>Previous 5 Years Gross Return</v>
      </c>
      <c r="K6" s="60" t="str">
        <f>"Previous 5 Years Benchmark"</f>
        <v>Previous 5 Years Benchmark</v>
      </c>
      <c r="L6" s="60" t="str">
        <f>"Previous 10 Years Gross Return"</f>
        <v>Previous 10 Years Gross Return</v>
      </c>
      <c r="M6" s="60" t="str">
        <f>"Previous 10 Years Benchmark"</f>
        <v>Previous 10 Years Benchmark</v>
      </c>
      <c r="O6" s="59"/>
    </row>
    <row r="7" spans="1:15" x14ac:dyDescent="0.2">
      <c r="A7" t="s">
        <v>66</v>
      </c>
      <c r="B7" t="str">
        <f>"Indiana Public Employees' Retirement Fund"</f>
        <v>Indiana Public Employees' Retirement Fund</v>
      </c>
      <c r="C7">
        <v>955542</v>
      </c>
      <c r="D7" t="str">
        <f>"Pension"</f>
        <v>Pension</v>
      </c>
      <c r="E7" t="str">
        <f>""</f>
        <v/>
      </c>
      <c r="F7" s="62">
        <v>2.8191000000000002</v>
      </c>
      <c r="G7" s="64"/>
      <c r="H7" s="59">
        <v>0.4299</v>
      </c>
      <c r="J7" s="59">
        <v>0.33539999999999998</v>
      </c>
      <c r="L7" s="59">
        <v>1.2635000000000001</v>
      </c>
      <c r="O7" s="59"/>
    </row>
    <row r="8" spans="1:15" x14ac:dyDescent="0.2">
      <c r="A8" t="s">
        <v>66</v>
      </c>
      <c r="B8" t="str">
        <f>"Indiana Public Employees' Retirement Fund"</f>
        <v>Indiana Public Employees' Retirement Fund</v>
      </c>
      <c r="C8">
        <v>955542</v>
      </c>
      <c r="D8" t="str">
        <f>"Pension"</f>
        <v>Pension</v>
      </c>
      <c r="E8" t="str">
        <f>"Russell 2500 (Benchmark)"</f>
        <v>Russell 2500 (Benchmark)</v>
      </c>
      <c r="F8" s="64"/>
      <c r="G8" s="62">
        <v>2.6454</v>
      </c>
      <c r="I8" s="59">
        <v>0.38590000000000002</v>
      </c>
      <c r="K8" s="59">
        <v>0.44719999999999999</v>
      </c>
      <c r="M8" s="59">
        <v>1.5852999999999999</v>
      </c>
      <c r="O8" s="59"/>
    </row>
    <row r="9" spans="1:15" x14ac:dyDescent="0.2">
      <c r="A9" t="str">
        <f>""</f>
        <v/>
      </c>
      <c r="B9" t="str">
        <f>""</f>
        <v/>
      </c>
      <c r="C9" t="str">
        <f>""</f>
        <v/>
      </c>
      <c r="D9" t="str">
        <f>""</f>
        <v/>
      </c>
      <c r="E9" t="str">
        <f>""</f>
        <v/>
      </c>
      <c r="F9" t="str">
        <f>""</f>
        <v/>
      </c>
      <c r="G9" t="str">
        <f>""</f>
        <v/>
      </c>
      <c r="H9" t="str">
        <f>""</f>
        <v/>
      </c>
      <c r="I9" t="str">
        <f>""</f>
        <v/>
      </c>
      <c r="J9" t="str">
        <f>""</f>
        <v/>
      </c>
      <c r="K9" t="str">
        <f>""</f>
        <v/>
      </c>
      <c r="L9" t="str">
        <f>""</f>
        <v/>
      </c>
      <c r="M9" t="str">
        <f>""</f>
        <v/>
      </c>
      <c r="N9" t="str">
        <f>""</f>
        <v/>
      </c>
      <c r="O9" t="str">
        <f>""</f>
        <v/>
      </c>
    </row>
    <row r="10" spans="1:15" ht="15" x14ac:dyDescent="0.25">
      <c r="D10" s="61" t="s">
        <v>68</v>
      </c>
    </row>
    <row r="11" spans="1:15" s="60" customFormat="1" ht="63.75" x14ac:dyDescent="0.2">
      <c r="A11" s="60" t="str">
        <f>"Account"</f>
        <v>Account</v>
      </c>
      <c r="B11" s="60" t="str">
        <f>"Account Name"</f>
        <v>Account Name</v>
      </c>
      <c r="C11" s="60" t="str">
        <f>"Benchmark Name"</f>
        <v>Benchmark Name</v>
      </c>
      <c r="D11" s="60" t="str">
        <f>"Previous Month Net Return"</f>
        <v>Previous Month Net Return</v>
      </c>
      <c r="E11" s="60" t="str">
        <f>"Previous Month Benchmark"</f>
        <v>Previous Month Benchmark</v>
      </c>
      <c r="F11" s="60" t="str">
        <f>"Prior Quarter Net Return"</f>
        <v>Prior Quarter Net Return</v>
      </c>
      <c r="G11" s="60" t="str">
        <f>"Prior Quarter Benchmark"</f>
        <v>Prior Quarter Benchmark</v>
      </c>
      <c r="H11" s="60" t="str">
        <f>"Previous 12 Months Net Return"</f>
        <v>Previous 12 Months Net Return</v>
      </c>
      <c r="I11" s="60" t="str">
        <f>"Previous 12 Months Benchmark"</f>
        <v>Previous 12 Months Benchmark</v>
      </c>
      <c r="J11" s="60" t="str">
        <f>"Previous 2 Years Net Return"</f>
        <v>Previous 2 Years Net Return</v>
      </c>
      <c r="K11" s="60" t="str">
        <f>"Previous 2 Years Benchmark"</f>
        <v>Previous 2 Years Benchmark</v>
      </c>
      <c r="L11" s="60" t="str">
        <f>"Previous 3 Years Net Return"</f>
        <v>Previous 3 Years Net Return</v>
      </c>
      <c r="M11" s="60" t="str">
        <f>"Previous 3 Years Benchmark"</f>
        <v>Previous 3 Years Benchmark</v>
      </c>
      <c r="N11" s="60" t="str">
        <f>"Previous 5 Years Net Return"</f>
        <v>Previous 5 Years Net Return</v>
      </c>
      <c r="O11" s="60" t="str">
        <f>"Previous 5 Years Benchmark"</f>
        <v>Previous 5 Years Benchmark</v>
      </c>
    </row>
    <row r="12" spans="1:15" x14ac:dyDescent="0.2">
      <c r="A12" t="s">
        <v>66</v>
      </c>
      <c r="B12" t="str">
        <f>"Indiana Public Employees' Retirement Fund"</f>
        <v>Indiana Public Employees' Retirement Fund</v>
      </c>
      <c r="C12" t="str">
        <f>""</f>
        <v/>
      </c>
      <c r="D12" s="62">
        <v>-1.95E-2</v>
      </c>
      <c r="F12" s="59">
        <v>9.6500000000000002E-2</v>
      </c>
      <c r="H12" s="62">
        <v>-2.4500000000000001E-2</v>
      </c>
      <c r="J12" s="62">
        <v>5.7000000000000002E-2</v>
      </c>
      <c r="L12" s="62">
        <v>0.1231</v>
      </c>
      <c r="N12" s="62">
        <v>5.6099999999999997E-2</v>
      </c>
    </row>
    <row r="13" spans="1:15" x14ac:dyDescent="0.2">
      <c r="A13" t="s">
        <v>66</v>
      </c>
      <c r="B13" t="str">
        <f>"Indiana Public Employees' Retirement Fund"</f>
        <v>Indiana Public Employees' Retirement Fund</v>
      </c>
      <c r="C13" t="str">
        <f>"Russell 2500 (Benchmark)"</f>
        <v>Russell 2500 (Benchmark)</v>
      </c>
      <c r="E13" s="62">
        <v>-2.35E-2</v>
      </c>
      <c r="G13" s="59">
        <v>7.4300000000000005E-2</v>
      </c>
      <c r="I13" s="62">
        <v>-5.4100000000000002E-2</v>
      </c>
      <c r="K13" s="62">
        <v>-2.5499999999999998E-2</v>
      </c>
      <c r="M13" s="62">
        <v>0.115</v>
      </c>
      <c r="O13" s="62">
        <v>7.6700000000000004E-2</v>
      </c>
    </row>
    <row r="14" spans="1:15" x14ac:dyDescent="0.2">
      <c r="A14" t="str">
        <f>""</f>
        <v/>
      </c>
      <c r="B14" t="str">
        <f>""</f>
        <v/>
      </c>
      <c r="C14" t="str">
        <f>""</f>
        <v/>
      </c>
      <c r="D14" t="str">
        <f>""</f>
        <v/>
      </c>
      <c r="E14" t="str">
        <f>""</f>
        <v/>
      </c>
      <c r="F14" t="str">
        <f>""</f>
        <v/>
      </c>
      <c r="G14" t="str">
        <f>""</f>
        <v/>
      </c>
      <c r="H14" t="str">
        <f>""</f>
        <v/>
      </c>
      <c r="I14" t="str">
        <f>""</f>
        <v/>
      </c>
      <c r="J14" t="str">
        <f>""</f>
        <v/>
      </c>
      <c r="K14" t="str">
        <f>""</f>
        <v/>
      </c>
      <c r="L14" t="str">
        <f>""</f>
        <v/>
      </c>
      <c r="M14" t="str">
        <f>""</f>
        <v/>
      </c>
      <c r="N14" t="str">
        <f>""</f>
        <v/>
      </c>
      <c r="O14" t="str">
        <f>""</f>
        <v/>
      </c>
    </row>
    <row r="15" spans="1:15" ht="63.75" x14ac:dyDescent="0.2">
      <c r="A15" s="60" t="str">
        <f>"Account"</f>
        <v>Account</v>
      </c>
      <c r="B15" s="60" t="str">
        <f>"Account Name"</f>
        <v>Account Name</v>
      </c>
      <c r="C15" s="60" t="str">
        <f>"Account Number"</f>
        <v>Account Number</v>
      </c>
      <c r="D15" s="60" t="str">
        <f>"Account Type"</f>
        <v>Account Type</v>
      </c>
      <c r="E15" s="60" t="str">
        <f>"Benchmark Name"</f>
        <v>Benchmark Name</v>
      </c>
      <c r="F15" s="63" t="str">
        <f>"8/22/2008 to 2/28/2023 Net Return"</f>
        <v>8/22/2008 to 2/28/2023 Net Return</v>
      </c>
      <c r="G15" s="63" t="str">
        <f>"8/22/2008 to 2/28/2023 Benchmark"</f>
        <v>8/22/2008 to 2/28/2023 Benchmark</v>
      </c>
      <c r="H15" s="60" t="str">
        <f>"Previous 3 Years Net Return"</f>
        <v>Previous 3 Years Net Return</v>
      </c>
      <c r="I15" s="60" t="str">
        <f>"Previous 3 Years Benchmark"</f>
        <v>Previous 3 Years Benchmark</v>
      </c>
      <c r="J15" s="60" t="str">
        <f>"Previous 5 Years Net Return"</f>
        <v>Previous 5 Years Net Return</v>
      </c>
      <c r="K15" s="60" t="str">
        <f>"Previous 5 Years Benchmark"</f>
        <v>Previous 5 Years Benchmark</v>
      </c>
      <c r="L15" s="60" t="str">
        <f>"Previous 10 Years Net Return"</f>
        <v>Previous 10 Years Net Return</v>
      </c>
      <c r="M15" s="60" t="str">
        <f>"Previous 10 Years Benchmark"</f>
        <v>Previous 10 Years Benchmark</v>
      </c>
    </row>
    <row r="16" spans="1:15" x14ac:dyDescent="0.2">
      <c r="A16" t="s">
        <v>66</v>
      </c>
      <c r="B16" t="str">
        <f>"Indiana Public Employees' Retirement Fund"</f>
        <v>Indiana Public Employees' Retirement Fund</v>
      </c>
      <c r="C16">
        <v>955542</v>
      </c>
      <c r="D16" t="str">
        <f>"Pension"</f>
        <v>Pension</v>
      </c>
      <c r="E16" t="str">
        <f>""</f>
        <v/>
      </c>
      <c r="F16" s="62">
        <v>2.6051000000000002</v>
      </c>
      <c r="G16" s="64"/>
      <c r="H16" s="59">
        <v>0.41620000000000001</v>
      </c>
      <c r="J16" s="59">
        <v>0.314</v>
      </c>
      <c r="L16" s="59">
        <v>1.1658999999999999</v>
      </c>
    </row>
    <row r="17" spans="1:13" x14ac:dyDescent="0.2">
      <c r="A17" t="s">
        <v>66</v>
      </c>
      <c r="B17" t="str">
        <f>"Indiana Public Employees' Retirement Fund"</f>
        <v>Indiana Public Employees' Retirement Fund</v>
      </c>
      <c r="C17">
        <v>955542</v>
      </c>
      <c r="D17" t="str">
        <f>"Pension"</f>
        <v>Pension</v>
      </c>
      <c r="E17" t="str">
        <f>"Russell 2500 (Benchmark)"</f>
        <v>Russell 2500 (Benchmark)</v>
      </c>
      <c r="F17" s="64"/>
      <c r="G17" s="62">
        <v>2.6454</v>
      </c>
      <c r="I17" s="59">
        <v>0.38590000000000002</v>
      </c>
      <c r="K17" s="59">
        <v>0.44719999999999999</v>
      </c>
      <c r="M17" s="59">
        <v>1.5852999999999999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85139-9AA6-42DD-A587-4B6358EDC83B}">
  <dimension ref="A1:I6"/>
  <sheetViews>
    <sheetView workbookViewId="0">
      <selection activeCell="C26" sqref="C26"/>
    </sheetView>
  </sheetViews>
  <sheetFormatPr defaultRowHeight="12.75" x14ac:dyDescent="0.2"/>
  <cols>
    <col min="1" max="1" width="10" bestFit="1" customWidth="1"/>
    <col min="2" max="2" width="37.28515625" bestFit="1" customWidth="1"/>
    <col min="3" max="3" width="36.85546875" bestFit="1" customWidth="1"/>
    <col min="4" max="4" width="7.7109375" bestFit="1" customWidth="1"/>
    <col min="6" max="6" width="11.7109375" bestFit="1" customWidth="1"/>
    <col min="7" max="7" width="11.28515625" bestFit="1" customWidth="1"/>
    <col min="8" max="8" width="10.28515625" bestFit="1" customWidth="1"/>
    <col min="9" max="9" width="8.140625" bestFit="1" customWidth="1"/>
  </cols>
  <sheetData>
    <row r="1" spans="1:9" x14ac:dyDescent="0.2">
      <c r="A1" t="str">
        <f>"Trade Date"</f>
        <v>Trade Date</v>
      </c>
      <c r="B1" t="str">
        <f>"Activity"</f>
        <v>Activity</v>
      </c>
      <c r="C1" t="str">
        <f>"Description"</f>
        <v>Description</v>
      </c>
      <c r="D1" t="str">
        <f>"Symbol"</f>
        <v>Symbol</v>
      </c>
      <c r="E1" t="str">
        <f>"Quantity"</f>
        <v>Quantity</v>
      </c>
      <c r="F1" t="str">
        <f>"Net Amount"</f>
        <v>Net Amount</v>
      </c>
      <c r="G1" t="str">
        <f>"Commission"</f>
        <v>Commission</v>
      </c>
      <c r="H1" t="str">
        <f>"Other Fees"</f>
        <v>Other Fees</v>
      </c>
      <c r="I1" t="str">
        <f>"Broker"</f>
        <v>Broker</v>
      </c>
    </row>
    <row r="2" spans="1:9" x14ac:dyDescent="0.2">
      <c r="A2" s="1">
        <v>44958</v>
      </c>
      <c r="B2" t="str">
        <f>"Income (Reinvested Interest)"</f>
        <v>Income (Reinvested Interest)</v>
      </c>
      <c r="C2" t="str">
        <f>"Cash"</f>
        <v>Cash</v>
      </c>
      <c r="D2" t="str">
        <f>"CASH"</f>
        <v>CASH</v>
      </c>
      <c r="E2" s="2">
        <v>1487.55</v>
      </c>
      <c r="F2" s="2">
        <v>1487.55</v>
      </c>
      <c r="G2" t="str">
        <f>""</f>
        <v/>
      </c>
      <c r="H2" t="str">
        <f>""</f>
        <v/>
      </c>
      <c r="I2" t="str">
        <f>""</f>
        <v/>
      </c>
    </row>
    <row r="3" spans="1:9" x14ac:dyDescent="0.2">
      <c r="A3" s="1">
        <v>44958</v>
      </c>
      <c r="B3" t="str">
        <f>"Income (Reinvested Interest)"</f>
        <v>Income (Reinvested Interest)</v>
      </c>
      <c r="C3" t="str">
        <f>"Cash"</f>
        <v>Cash</v>
      </c>
      <c r="D3" t="str">
        <f>"CASH"</f>
        <v>CASH</v>
      </c>
      <c r="E3">
        <v>0.04</v>
      </c>
      <c r="F3">
        <v>0.04</v>
      </c>
      <c r="G3" t="str">
        <f>""</f>
        <v/>
      </c>
      <c r="H3" t="str">
        <f>""</f>
        <v/>
      </c>
      <c r="I3" t="str">
        <f>""</f>
        <v/>
      </c>
    </row>
    <row r="4" spans="1:9" x14ac:dyDescent="0.2">
      <c r="A4" s="1">
        <v>44966</v>
      </c>
      <c r="B4" t="str">
        <f>"Sell"</f>
        <v>Sell</v>
      </c>
      <c r="C4" t="str">
        <f>"XPO Logistics Inc"</f>
        <v>XPO Logistics Inc</v>
      </c>
      <c r="D4" t="str">
        <f>"XPO"</f>
        <v>XPO</v>
      </c>
      <c r="E4" s="2">
        <v>2759</v>
      </c>
      <c r="F4" s="2">
        <v>108184.53</v>
      </c>
      <c r="G4">
        <v>110.36</v>
      </c>
      <c r="H4">
        <v>2.48</v>
      </c>
      <c r="I4" t="str">
        <f>"COWEN"</f>
        <v>COWEN</v>
      </c>
    </row>
    <row r="5" spans="1:9" x14ac:dyDescent="0.2">
      <c r="A5" s="1">
        <v>44972</v>
      </c>
      <c r="B5" t="str">
        <f>"Income (Dividend)"</f>
        <v>Income (Dividend)</v>
      </c>
      <c r="C5" t="str">
        <f>"Aon PLC"</f>
        <v>Aon PLC</v>
      </c>
      <c r="D5" t="str">
        <f>"AON"</f>
        <v>AON</v>
      </c>
      <c r="E5" t="str">
        <f>""</f>
        <v/>
      </c>
      <c r="F5" s="2">
        <v>1146.32</v>
      </c>
      <c r="G5" t="str">
        <f>""</f>
        <v/>
      </c>
      <c r="H5" t="str">
        <f>""</f>
        <v/>
      </c>
      <c r="I5" t="str">
        <f>""</f>
        <v/>
      </c>
    </row>
    <row r="6" spans="1:9" x14ac:dyDescent="0.2">
      <c r="A6" s="1">
        <v>44978</v>
      </c>
      <c r="B6" t="str">
        <f>"Sell"</f>
        <v>Sell</v>
      </c>
      <c r="C6" t="str">
        <f>"XPO Logistics Inc"</f>
        <v>XPO Logistics Inc</v>
      </c>
      <c r="D6" t="str">
        <f>"XPO"</f>
        <v>XPO</v>
      </c>
      <c r="E6" s="2">
        <v>2527</v>
      </c>
      <c r="F6" s="2">
        <v>90432.93</v>
      </c>
      <c r="G6">
        <v>101.08</v>
      </c>
      <c r="H6">
        <v>2.08</v>
      </c>
      <c r="I6" t="str">
        <f>""</f>
        <v/>
      </c>
    </row>
  </sheetData>
  <sortState xmlns:xlrd2="http://schemas.microsoft.com/office/spreadsheetml/2017/richdata2" ref="A2:K6">
    <sortCondition ref="A2:A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Portfolio Appraisal</vt:lpstr>
      <vt:lpstr>Performance</vt:lpstr>
      <vt:lpstr>Transactions</vt:lpstr>
      <vt:lpstr>Contributions&amp;Withdrawals</vt:lpstr>
      <vt:lpstr>Commissions</vt:lpstr>
      <vt:lpstr>Sheet1</vt:lpstr>
      <vt:lpstr>Sheet2</vt:lpstr>
      <vt:lpstr>Sheet3</vt:lpstr>
      <vt:lpstr>Commissions!Print_Area</vt:lpstr>
      <vt:lpstr>Performance!Print_Area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Troy</dc:creator>
  <cp:lastModifiedBy>Lillie</cp:lastModifiedBy>
  <cp:lastPrinted>2023-02-14T19:25:14Z</cp:lastPrinted>
  <dcterms:created xsi:type="dcterms:W3CDTF">2008-09-11T18:32:18Z</dcterms:created>
  <dcterms:modified xsi:type="dcterms:W3CDTF">2023-03-14T16:38:22Z</dcterms:modified>
</cp:coreProperties>
</file>