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120" windowWidth="14820" windowHeight="8532" tabRatio="758" firstSheet="3" activeTab="4"/>
  </bookViews>
  <sheets>
    <sheet name="IOControl" sheetId="4" state="hidden" r:id="rId1"/>
    <sheet name="APOLLO_LINKS" sheetId="5" state="hidden" r:id="rId2"/>
    <sheet name="Comparison" sheetId="13" state="hidden" r:id="rId3"/>
    <sheet name="Instructions" sheetId="14" r:id="rId4"/>
    <sheet name="Schedule_A" sheetId="1" r:id="rId5"/>
    <sheet name="Cash" sheetId="3" r:id="rId6"/>
    <sheet name="Share_Cost_Mkt" sheetId="2" r:id="rId7"/>
    <sheet name="Dividends" sheetId="12" r:id="rId8"/>
    <sheet name="Tax_Reclaims" sheetId="7" r:id="rId9"/>
    <sheet name="Interest" sheetId="8" r:id="rId10"/>
    <sheet name="Open_Trades" sheetId="9" r:id="rId11"/>
    <sheet name="Pending_FX " sheetId="11" r:id="rId12"/>
  </sheets>
  <externalReferences>
    <externalReference r:id="rId13"/>
  </externalReferences>
  <definedNames>
    <definedName name="_xlnm._FilterDatabase" localSheetId="6" hidden="1">Share_Cost_Mkt!$A$2:$Y$94</definedName>
    <definedName name="Cash_BMV_IM">Cash!$G$22</definedName>
    <definedName name="Cash_BMV_SSC">Cash!$F$22</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Share_Cost_Mkt!$92:$94</definedName>
    <definedName name="DIST_MV_COL">Share_Cost_Mkt!#REF!</definedName>
    <definedName name="DIST_REQ_ACCOUNT">IOControl!$B$5</definedName>
    <definedName name="DIST_REQ_DATE">IOControl!$B$6</definedName>
    <definedName name="DIST_REQ_FILTER_CODE_1">IOControl!$G$2</definedName>
    <definedName name="DIST_REQ_FILTER_OPERAND_1">IOControl!$H$2</definedName>
    <definedName name="DIST_REQ_FILTER_VALUE_1">IOControl!$I$2</definedName>
    <definedName name="DIST_REQ_SCTY_ONLY">IOControl!$B$7</definedName>
    <definedName name="DIST_SD_COL">Share_Cost_Mkt!#REF!</definedName>
    <definedName name="DIST_SN_COL">Share_Cost_Mkt!#REF!</definedName>
    <definedName name="DIST2_BR_COL">Cash!#REF!</definedName>
    <definedName name="DIST2_DETAIL_ROW">Cash!#REF!</definedName>
    <definedName name="DIST2_INSERTED_ROWS">Cash!$13:$20</definedName>
    <definedName name="DIST2_MV_COL">Cash!#REF!</definedName>
    <definedName name="DIST2_REQ_ACCOUNT">IOControl!$B$14</definedName>
    <definedName name="DIST2_REQ_DATE">IOControl!$B$15</definedName>
    <definedName name="DIST2_REQ_FILTER_CODE_1">IOControl!$G$11</definedName>
    <definedName name="DIST2_REQ_FILTER_OPERAND_1">IOControl!$H$11</definedName>
    <definedName name="DIST2_REQ_FILTER_VALUE_1">IOControl!$I$11</definedName>
    <definedName name="DIST2_REQ_SCTY_ONLY">IOControl!$B$16</definedName>
    <definedName name="DIST2_SD_COL">Cash!#REF!</definedName>
    <definedName name="DIST2_SN_COL">Cash!#REF!</definedName>
    <definedName name="DIST3_AN_COL" localSheetId="7">Dividends!#REF!</definedName>
    <definedName name="DIST3_AN_COL">#REF!</definedName>
    <definedName name="DIST3_BN_COL" localSheetId="7">Dividends!#REF!</definedName>
    <definedName name="DIST3_BN_COL">#REF!</definedName>
    <definedName name="DIST3_DETAIL_ROW" localSheetId="7">Dividends!#REF!</definedName>
    <definedName name="DIST3_DETAIL_ROW">#REF!</definedName>
    <definedName name="DIST3_INSERTED_ROWS" localSheetId="7">Dividends!#REF!</definedName>
    <definedName name="DIST3_INSERTED_ROWS">#REF!</definedName>
    <definedName name="DIST3_REQ_ACCOUNT">IOControl!$B$23</definedName>
    <definedName name="DIST3_REQ_DATE">IOControl!$B$24</definedName>
    <definedName name="DIST3_REQ_FILTER_CODE_1">IOControl!$G$20</definedName>
    <definedName name="DIST3_REQ_FILTER_CODE_2">IOControl!$G$21</definedName>
    <definedName name="DIST3_REQ_FILTER_CODE_3">IOControl!$G$22</definedName>
    <definedName name="DIST3_REQ_FILTER_OPERAND_1">IOControl!$H$20</definedName>
    <definedName name="DIST3_REQ_FILTER_OPERAND_2">IOControl!$H$21</definedName>
    <definedName name="DIST3_REQ_FILTER_OPERAND_3">IOControl!$H$22</definedName>
    <definedName name="DIST3_REQ_FILTER_VALUE_1">IOControl!$I$20</definedName>
    <definedName name="DIST3_REQ_FILTER_VALUE_2">IOControl!$I$21</definedName>
    <definedName name="DIST3_REQ_FILTER_VALUE_3">IOControl!$I$22</definedName>
    <definedName name="DIST3_REQ_SCTY_ONLY">IOControl!$B$25</definedName>
    <definedName name="DIST3_SD_COL" localSheetId="7">Dividends!#REF!</definedName>
    <definedName name="DIST3_SD_COL">#REF!</definedName>
    <definedName name="DIST3_SN_COL" localSheetId="7">Dividends!#REF!</definedName>
    <definedName name="DIST3_SN_COL">#REF!</definedName>
    <definedName name="DIST4_AN_COL">Interest!$A$6</definedName>
    <definedName name="DIST4_DETAIL_ROW">Interest!$6:$6</definedName>
    <definedName name="DIST4_GB_COL">Interest!$E$6</definedName>
    <definedName name="DIST4_INSERTED_ROWS" localSheetId="7">[1]Interest!#REF!</definedName>
    <definedName name="DIST4_INSERTED_ROWS">Interest!#REF!</definedName>
    <definedName name="DIST4_REQ_ACCOUNT">IOControl!$B$42</definedName>
    <definedName name="DIST4_REQ_DATE">IOControl!$B$43</definedName>
    <definedName name="DIST4_REQ_FILTER_CODE_1">IOControl!$G$39</definedName>
    <definedName name="DIST4_REQ_FILTER_CODE_2">IOControl!$G$40</definedName>
    <definedName name="DIST4_REQ_FILTER_CODE_3">IOControl!$G$41</definedName>
    <definedName name="DIST4_REQ_FILTER_OPERAND_1">IOControl!$H$39</definedName>
    <definedName name="DIST4_REQ_FILTER_OPERAND_2">IOControl!$H$40</definedName>
    <definedName name="DIST4_REQ_FILTER_OPERAND_3">IOControl!$H$41</definedName>
    <definedName name="DIST4_REQ_FILTER_VALUE_1">IOControl!$I$39</definedName>
    <definedName name="DIST4_REQ_FILTER_VALUE_2">IOControl!$I$40</definedName>
    <definedName name="DIST4_REQ_FILTER_VALUE_3">IOControl!$I$41</definedName>
    <definedName name="DIST4_REQ_SCTY_ONLY">IOControl!$B$44</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IOControl!$B$91</definedName>
    <definedName name="DIST5_REQ_DATE">IOControl!$B$92</definedName>
    <definedName name="DIST5_REQ_FILTER_CODE_1">IOControl!$G$88</definedName>
    <definedName name="DIST5_REQ_FILTER_OPERAND_1">IOControl!$H$88</definedName>
    <definedName name="DIST5_REQ_FILTER_VALUE_1">IOControl!$I$88</definedName>
    <definedName name="DIST5_REQ_SCTY_ONLY">IOControl!$B$93</definedName>
    <definedName name="DIST5_SD_COL">Tax_Reclaims!#REF!</definedName>
    <definedName name="DIST5_SN_COL">Tax_Reclaims!#REF!</definedName>
    <definedName name="DIST5_WC_COL">Tax_Reclaims!#REF!</definedName>
    <definedName name="DIV_BNI_IM" localSheetId="7">Dividends!#REF!</definedName>
    <definedName name="DIV_BNI_IM">#REF!</definedName>
    <definedName name="DIV_BNI_SSC" localSheetId="7">Dividends!#REF!</definedName>
    <definedName name="DIV_BNI_SSC">#REF!</definedName>
    <definedName name="INT_BNI_IM">Interest!$E$8</definedName>
    <definedName name="INT_BNI_SSC">Interest!$D$8</definedName>
    <definedName name="IO_CUR_COL">1</definedName>
    <definedName name="IO_CUR_ROW">7</definedName>
    <definedName name="IO_DATA">IOControl!$B$2</definedName>
    <definedName name="IO_DATA10">IOControl!$B$88</definedName>
    <definedName name="IO_DATA2">IOControl!$B$11</definedName>
    <definedName name="IO_DATA3">IOControl!$B$20</definedName>
    <definedName name="IO_DATA4">IOControl!$B$29</definedName>
    <definedName name="IO_DATA5">IOControl!$B$39</definedName>
    <definedName name="IO_DATA6">IOControl!$B$48</definedName>
    <definedName name="IO_DATA7">IOControl!$B$58</definedName>
    <definedName name="IO_DATA8">IOControl!$B$68</definedName>
    <definedName name="IO_DATA9">IOControl!$B$78</definedName>
    <definedName name="IO_REPORT_TYPE">IOControl!$B$3</definedName>
    <definedName name="IO_REPORT_TYPE10">IOControl!$B$89</definedName>
    <definedName name="IO_REPORT_TYPE2">IOControl!$B$12</definedName>
    <definedName name="IO_REPORT_TYPE3">IOControl!$B$21</definedName>
    <definedName name="IO_REPORT_TYPE4">IOControl!$B$30</definedName>
    <definedName name="IO_REPORT_TYPE5">IOControl!$B$40</definedName>
    <definedName name="IO_REPORT_TYPE6">IOControl!$B$49</definedName>
    <definedName name="IO_REPORT_TYPE7">IOControl!$B$59</definedName>
    <definedName name="IO_REPORT_TYPE8">IOControl!$B$69</definedName>
    <definedName name="IO_REPORT_TYPE9">IOControl!$B$79</definedName>
    <definedName name="OBI_BNP_IM">Open_Trades!#REF!</definedName>
    <definedName name="OSI_BNP_IM">Open_Trades!$K$47</definedName>
    <definedName name="OTB_BNP_IM">Open_Trades!#REF!</definedName>
    <definedName name="OTB_BNP_SSC">Open_Trades!#REF!</definedName>
    <definedName name="OTS_BNP_IM">Open_Trades!$E$47</definedName>
    <definedName name="OTS_BNP_SSC">Open_Trades!$D$47</definedName>
    <definedName name="PARM_Account">IOControl!$E$2</definedName>
    <definedName name="PARM_From_Date">IOControl!$E$3</definedName>
    <definedName name="PARM_To_Date">IOControl!$E$4</definedName>
    <definedName name="PFX_AB_IM" localSheetId="11">'Pending_FX '!#REF!</definedName>
    <definedName name="PFX_AB_IM">#REF!</definedName>
    <definedName name="PFX_AB_SSC" localSheetId="11">'Pending_FX '!#REF!</definedName>
    <definedName name="PFX_AB_SSC">#REF!</definedName>
    <definedName name="PFX_AS_IM" localSheetId="11">'Pending_FX '!#REF!</definedName>
    <definedName name="PFX_AS_IM">#REF!</definedName>
    <definedName name="PFX_AS_SSC" localSheetId="11">'Pending_FX '!#REF!</definedName>
    <definedName name="PFX_AS_SSC">#REF!</definedName>
    <definedName name="_xlnm.Print_Area" localSheetId="5">Cash!$A$3:$M$20</definedName>
    <definedName name="_xlnm.Print_Area" localSheetId="2">Comparison!$A$1:$K$42</definedName>
    <definedName name="_xlnm.Print_Area" localSheetId="7">Dividends!$A$1:$Q$59</definedName>
    <definedName name="_xlnm.Print_Area" localSheetId="10">Open_Trades!$A$1:$L$23</definedName>
    <definedName name="_xlnm.Print_Area" localSheetId="11">'Pending_FX '!$A$1:$L$56</definedName>
    <definedName name="_xlnm.Print_Area" localSheetId="6">Share_Cost_Mkt!$A$2:$Y$97</definedName>
    <definedName name="_xlnm.Print_Area" localSheetId="8">Tax_Reclaims!$A$1:$P$24</definedName>
    <definedName name="_xlnm.Print_Titles" localSheetId="5">Cash!$3:$3</definedName>
    <definedName name="_xlnm.Print_Titles" localSheetId="7">Dividends!$1:$1</definedName>
    <definedName name="_xlnm.Print_Titles" localSheetId="9">Interest!$1:$1</definedName>
    <definedName name="_xlnm.Print_Titles" localSheetId="10">Open_Trades!$3:$3</definedName>
    <definedName name="_xlnm.Print_Titles" localSheetId="6">Share_Cost_Mkt!$2:$2</definedName>
    <definedName name="_xlnm.Print_Titles" localSheetId="8">Tax_Reclaims!$1:$1</definedName>
    <definedName name="SCM_BC_IM" localSheetId="7">[1]Share_Cost_Mkt!#REF!</definedName>
    <definedName name="SCM_BC_IM">Share_Cost_Mkt!#REF!</definedName>
    <definedName name="SCM_BC_SSC" localSheetId="7">[1]Share_Cost_Mkt!#REF!</definedName>
    <definedName name="SCM_BC_SSC">Share_Cost_Mkt!#REF!</definedName>
    <definedName name="SCM_BMV_IM" localSheetId="7">[1]Share_Cost_Mkt!#REF!</definedName>
    <definedName name="SCM_BMV_IM">Share_Cost_Mkt!#REF!</definedName>
    <definedName name="SCM_BMV_SSC" localSheetId="7">[1]Share_Cost_Mkt!#REF!</definedName>
    <definedName name="SCM_BMV_SSC">Share_Cost_Mkt!#REF!</definedName>
    <definedName name="SCM_SPV_IM" localSheetId="7">[1]Share_Cost_Mkt!#REF!</definedName>
    <definedName name="SCM_SPV_IM">Share_Cost_Mkt!#REF!</definedName>
    <definedName name="SCM_SPV_SSC" localSheetId="7">[1]Share_Cost_Mkt!#REF!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IOControl!$B$32</definedName>
    <definedName name="TRAN_REQ_DATE_TYPE">IOControl!$B$35</definedName>
    <definedName name="TRAN_REQ_FILTER_CODE_1">IOControl!$G$29</definedName>
    <definedName name="TRAN_REQ_FILTER_CODE_2">IOControl!$G$30</definedName>
    <definedName name="TRAN_REQ_FILTER_CODE_3">IOControl!$G$31</definedName>
    <definedName name="TRAN_REQ_FILTER_OPERAND_1">IOControl!$H$29</definedName>
    <definedName name="TRAN_REQ_FILTER_OPERAND_2">IOControl!$H$30</definedName>
    <definedName name="TRAN_REQ_FILTER_OPERAND_3">IOControl!$H$31</definedName>
    <definedName name="TRAN_REQ_FILTER_VALUE_1">IOControl!$I$29</definedName>
    <definedName name="TRAN_REQ_FILTER_VALUE_2">IOControl!$I$30</definedName>
    <definedName name="TRAN_REQ_FILTER_VALUE_3">IOControl!$I$31</definedName>
    <definedName name="TRAN_REQ_FROM_DATE">IOControl!$B$33</definedName>
    <definedName name="TRAN_REQ_To_DATE">IOControl!$B$34</definedName>
    <definedName name="TRAN_RR_COL">Tax_Reclaims!#REF!</definedName>
    <definedName name="TRAN_SD_COL">Tax_Reclaims!#REF!</definedName>
    <definedName name="TRAN_SN_COL">Tax_Reclaims!#REF!</definedName>
    <definedName name="TRAN_XV_COL" localSheetId="7">[1]Tax_Reclaims!#REF!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IOControl!$B$51</definedName>
    <definedName name="TRAN2_REQ_DATE_TYPE">IOControl!$B$54</definedName>
    <definedName name="TRAN2_REQ_FILTER_CODE_1">IOControl!$G$48</definedName>
    <definedName name="TRAN2_REQ_FILTER_CODE_2">IOControl!$G$49</definedName>
    <definedName name="TRAN2_REQ_FILTER_CODE_3">IOControl!$G$50</definedName>
    <definedName name="TRAN2_REQ_FILTER_OPERAND_1">IOControl!$H$48</definedName>
    <definedName name="TRAN2_REQ_FILTER_OPERAND_2">IOControl!$H$49</definedName>
    <definedName name="TRAN2_REQ_FILTER_OPERAND_3">IOControl!$H$50</definedName>
    <definedName name="TRAN2_REQ_FILTER_VALUE_1">IOControl!$I$48</definedName>
    <definedName name="TRAN2_REQ_FILTER_VALUE_2">IOControl!$I$49</definedName>
    <definedName name="TRAN2_REQ_FILTER_VALUE_3">IOControl!$I$50</definedName>
    <definedName name="TRAN2_REQ_FROM_DATE">IOControl!$B$52</definedName>
    <definedName name="TRAN2_REQ_To_DATE">IOControl!$B$53</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IOControl!$B$61</definedName>
    <definedName name="TRAN3_REQ_DATE_TYPE">IOControl!$B$64</definedName>
    <definedName name="TRAN3_REQ_FILTER_CODE_1">IOControl!$G$58</definedName>
    <definedName name="TRAN3_REQ_FILTER_CODE_2">IOControl!$G$59</definedName>
    <definedName name="TRAN3_REQ_FILTER_CODE_3">IOControl!$G$60</definedName>
    <definedName name="TRAN3_REQ_FILTER_OPERAND_1">IOControl!$H$58</definedName>
    <definedName name="TRAN3_REQ_FILTER_OPERAND_2">IOControl!$H$59</definedName>
    <definedName name="TRAN3_REQ_FILTER_OPERAND_3">IOControl!$H$60</definedName>
    <definedName name="TRAN3_REQ_FILTER_VALUE_1">IOControl!$I$58</definedName>
    <definedName name="TRAN3_REQ_FILTER_VALUE_2">IOControl!$I$59</definedName>
    <definedName name="TRAN3_REQ_FILTER_VALUE_3">IOControl!$I$60</definedName>
    <definedName name="TRAN3_REQ_FROM_DATE">IOControl!$B$62</definedName>
    <definedName name="TRAN3_REQ_To_DATE">IOControl!$B$63</definedName>
    <definedName name="TRAN3_SD_COL">Open_Trades!#REF!</definedName>
    <definedName name="TRAN3_SN_COL">Open_Trades!#REF!</definedName>
    <definedName name="TRAN3_TD_COL">Open_Trades!#REF!</definedName>
    <definedName name="TRAN3_XX_COL">Open_Trades!#REF!</definedName>
    <definedName name="TRAN4_CS_COL" localSheetId="11">'Pending_FX '!#REF!</definedName>
    <definedName name="TRAN4_CS_COL">#REF!</definedName>
    <definedName name="TRAN4_CV_COL" localSheetId="11">'Pending_FX '!#REF!</definedName>
    <definedName name="TRAN4_CV_COL">#REF!</definedName>
    <definedName name="TRAN4_DETAIL_ROW" localSheetId="11">'Pending_FX '!#REF!</definedName>
    <definedName name="TRAN4_DETAIL_ROW">#REF!</definedName>
    <definedName name="TRAN4_G5_COL" localSheetId="11">'Pending_FX '!#REF!</definedName>
    <definedName name="TRAN4_G5_COL">#REF!</definedName>
    <definedName name="TRAN4_G8_COL" localSheetId="11">'Pending_FX '!#REF!</definedName>
    <definedName name="TRAN4_G8_COL">#REF!</definedName>
    <definedName name="TRAN4_INSERTED_ROWS" localSheetId="11">'Pending_FX '!#REF!</definedName>
    <definedName name="TRAN4_INSERTED_ROWS">#REF!</definedName>
    <definedName name="TRAN4_REQ_ACCOUNT">IOControl!$B$71</definedName>
    <definedName name="TRAN4_REQ_DATE_TYPE">IOControl!$B$74</definedName>
    <definedName name="TRAN4_REQ_FILTER_CODE_1">IOControl!$G$68</definedName>
    <definedName name="TRAN4_REQ_FILTER_CODE_2">IOControl!$G$69</definedName>
    <definedName name="TRAN4_REQ_FILTER_CODE_3">IOControl!$G$70</definedName>
    <definedName name="TRAN4_REQ_FILTER_CODE_4">IOControl!$G$71</definedName>
    <definedName name="TRAN4_REQ_FILTER_OPERAND_1">IOControl!$H$68</definedName>
    <definedName name="TRAN4_REQ_FILTER_OPERAND_2">IOControl!$H$69</definedName>
    <definedName name="TRAN4_REQ_FILTER_OPERAND_3">IOControl!$H$70</definedName>
    <definedName name="TRAN4_REQ_FILTER_OPERAND_4">IOControl!$H$71</definedName>
    <definedName name="TRAN4_REQ_FILTER_VALUE_1">IOControl!$I$68</definedName>
    <definedName name="TRAN4_REQ_FILTER_VALUE_2">IOControl!$I$69</definedName>
    <definedName name="TRAN4_REQ_FILTER_VALUE_3">IOControl!$I$70</definedName>
    <definedName name="TRAN4_REQ_FILTER_VALUE_4">IOControl!$I$71</definedName>
    <definedName name="TRAN4_REQ_FROM_DATE">IOControl!$B$72</definedName>
    <definedName name="TRAN4_REQ_To_DATE">IOControl!$B$73</definedName>
    <definedName name="TRAN4_SN_COL" localSheetId="11">'Pending_FX '!#REF!</definedName>
    <definedName name="TRAN4_SN_COL">#REF!</definedName>
    <definedName name="TRAN4_TD_COL" localSheetId="11">'Pending_FX '!#REF!</definedName>
    <definedName name="TRAN4_TD_COL">#REF!</definedName>
    <definedName name="TRAN5_CS_COL" localSheetId="11">'Pending_FX '!#REF!</definedName>
    <definedName name="TRAN5_CS_COL">#REF!</definedName>
    <definedName name="TRAN5_CV_COL" localSheetId="11">'Pending_FX '!#REF!</definedName>
    <definedName name="TRAN5_CV_COL">#REF!</definedName>
    <definedName name="TRAN5_DETAIL_ROW" localSheetId="11">'Pending_FX '!#REF!</definedName>
    <definedName name="TRAN5_DETAIL_ROW">#REF!</definedName>
    <definedName name="TRAN5_G5_COL" localSheetId="11">'Pending_FX '!#REF!</definedName>
    <definedName name="TRAN5_G5_COL">#REF!</definedName>
    <definedName name="TRAN5_G8_COL" localSheetId="11">'Pending_FX '!#REF!</definedName>
    <definedName name="TRAN5_G8_COL">#REF!</definedName>
    <definedName name="TRAN5_INSERTED_ROWS" localSheetId="11">'Pending_FX '!$23:$50</definedName>
    <definedName name="TRAN5_INSERTED_ROWS">#REF!</definedName>
    <definedName name="TRAN5_REQ_ACCOUNT">IOControl!$B$81</definedName>
    <definedName name="TRAN5_REQ_DATE_TYPE">IOControl!$B$84</definedName>
    <definedName name="TRAN5_REQ_FILTER_CODE_1">IOControl!$G$78</definedName>
    <definedName name="TRAN5_REQ_FILTER_CODE_2">IOControl!$G$79</definedName>
    <definedName name="TRAN5_REQ_FILTER_CODE_3">IOControl!$G$80</definedName>
    <definedName name="TRAN5_REQ_FILTER_CODE_4">IOControl!$G$81</definedName>
    <definedName name="TRAN5_REQ_FILTER_OPERAND_1">IOControl!$H$78</definedName>
    <definedName name="TRAN5_REQ_FILTER_OPERAND_2">IOControl!$H$79</definedName>
    <definedName name="TRAN5_REQ_FILTER_OPERAND_3">IOControl!$H$80</definedName>
    <definedName name="TRAN5_REQ_FILTER_OPERAND_4">IOControl!$H$81</definedName>
    <definedName name="TRAN5_REQ_FILTER_VALUE_1">IOControl!$I$78</definedName>
    <definedName name="TRAN5_REQ_FILTER_VALUE_2">IOControl!$I$79</definedName>
    <definedName name="TRAN5_REQ_FILTER_VALUE_3">IOControl!$I$80</definedName>
    <definedName name="TRAN5_REQ_FILTER_VALUE_4">IOControl!$I$81</definedName>
    <definedName name="TRAN5_REQ_FROM_DATE">IOControl!$B$82</definedName>
    <definedName name="TRAN5_REQ_To_DATE">IOControl!$B$83</definedName>
    <definedName name="TRAN5_SN_COL" localSheetId="11">'Pending_FX '!#REF!</definedName>
    <definedName name="TRAN5_SN_COL">#REF!</definedName>
    <definedName name="TRAN5_TD_COL" localSheetId="11">'Pending_FX '!#REF!</definedName>
    <definedName name="TRAN5_TD_COL">#REF!</definedName>
    <definedName name="TU_BTRO_IM">Tax_Reclaims!#REF!</definedName>
  </definedNames>
  <calcPr calcId="125725"/>
</workbook>
</file>

<file path=xl/calcChain.xml><?xml version="1.0" encoding="utf-8"?>
<calcChain xmlns="http://schemas.openxmlformats.org/spreadsheetml/2006/main">
  <c r="W91" i="2"/>
  <c r="W90"/>
  <c r="W89"/>
  <c r="W85"/>
  <c r="W84"/>
  <c r="W82"/>
  <c r="W81"/>
  <c r="W75"/>
  <c r="W74"/>
  <c r="W71"/>
  <c r="W70"/>
  <c r="W67"/>
  <c r="W65"/>
  <c r="W64"/>
  <c r="W61"/>
  <c r="W58"/>
  <c r="W55"/>
  <c r="W53"/>
  <c r="W52"/>
  <c r="W51"/>
  <c r="W49"/>
  <c r="W44"/>
  <c r="W43"/>
  <c r="W41"/>
  <c r="W40"/>
  <c r="W39"/>
  <c r="W37"/>
  <c r="W36"/>
  <c r="W35"/>
  <c r="W31"/>
  <c r="W29"/>
  <c r="W28"/>
  <c r="W25"/>
  <c r="W20"/>
  <c r="W19"/>
  <c r="W18"/>
  <c r="W15"/>
  <c r="W14"/>
  <c r="W13"/>
  <c r="W12"/>
  <c r="W11"/>
  <c r="W10"/>
  <c r="F91"/>
  <c r="F90"/>
  <c r="F89"/>
  <c r="F85"/>
  <c r="F84"/>
  <c r="F82"/>
  <c r="F81"/>
  <c r="F75"/>
  <c r="F74"/>
  <c r="F71"/>
  <c r="F70"/>
  <c r="F67"/>
  <c r="F65"/>
  <c r="F64"/>
  <c r="F61"/>
  <c r="F58"/>
  <c r="F55"/>
  <c r="F53"/>
  <c r="F52"/>
  <c r="F51"/>
  <c r="F49"/>
  <c r="F44"/>
  <c r="F43"/>
  <c r="F41" l="1"/>
  <c r="H41" s="1"/>
  <c r="F40"/>
  <c r="H40" s="1"/>
  <c r="F39"/>
  <c r="H39" s="1"/>
  <c r="F37"/>
  <c r="F36"/>
  <c r="H36" s="1"/>
  <c r="F35"/>
  <c r="F31"/>
  <c r="H31" s="1"/>
  <c r="F29"/>
  <c r="F28"/>
  <c r="H28" s="1"/>
  <c r="F25"/>
  <c r="F20"/>
  <c r="H20" s="1"/>
  <c r="F19"/>
  <c r="F18"/>
  <c r="H18" s="1"/>
  <c r="F15"/>
  <c r="F14"/>
  <c r="H14" s="1"/>
  <c r="F13"/>
  <c r="F12"/>
  <c r="H12" s="1"/>
  <c r="F11"/>
  <c r="F10"/>
  <c r="H10" s="1"/>
  <c r="M5" i="12"/>
  <c r="M3"/>
  <c r="O3" s="1"/>
  <c r="O47" s="1"/>
  <c r="F3"/>
  <c r="F5"/>
  <c r="F47" s="1"/>
  <c r="H51" i="11"/>
  <c r="E55" s="1"/>
  <c r="G51"/>
  <c r="D55" s="1"/>
  <c r="F51"/>
  <c r="E51"/>
  <c r="C51"/>
  <c r="B51"/>
  <c r="H22"/>
  <c r="E54" s="1"/>
  <c r="G22"/>
  <c r="D54"/>
  <c r="F22"/>
  <c r="E22"/>
  <c r="D22"/>
  <c r="C22"/>
  <c r="B22"/>
  <c r="K45" i="9"/>
  <c r="J45"/>
  <c r="E45"/>
  <c r="D45"/>
  <c r="K19"/>
  <c r="J19"/>
  <c r="C32" i="1" s="1"/>
  <c r="E32" s="1"/>
  <c r="E19" i="9"/>
  <c r="D19"/>
  <c r="E8" i="8"/>
  <c r="D8"/>
  <c r="F2"/>
  <c r="F8" s="1"/>
  <c r="O24" i="7"/>
  <c r="N24"/>
  <c r="M24"/>
  <c r="L24"/>
  <c r="K24"/>
  <c r="J24"/>
  <c r="I24"/>
  <c r="H24"/>
  <c r="G24"/>
  <c r="F24"/>
  <c r="C25" i="1" s="1"/>
  <c r="P47" i="12"/>
  <c r="N47"/>
  <c r="M47"/>
  <c r="L47"/>
  <c r="K47"/>
  <c r="J47"/>
  <c r="I47"/>
  <c r="H47"/>
  <c r="G47"/>
  <c r="E47"/>
  <c r="O45"/>
  <c r="O44"/>
  <c r="O43"/>
  <c r="O42"/>
  <c r="O41"/>
  <c r="O40"/>
  <c r="O39"/>
  <c r="O38"/>
  <c r="O37"/>
  <c r="O36"/>
  <c r="O35"/>
  <c r="O34"/>
  <c r="O33"/>
  <c r="O32"/>
  <c r="O31"/>
  <c r="O30"/>
  <c r="O29"/>
  <c r="O28"/>
  <c r="O27"/>
  <c r="O26"/>
  <c r="O25"/>
  <c r="O24"/>
  <c r="O23"/>
  <c r="O22"/>
  <c r="O21"/>
  <c r="O20"/>
  <c r="O19"/>
  <c r="O18"/>
  <c r="O17"/>
  <c r="O16"/>
  <c r="O15"/>
  <c r="O14"/>
  <c r="O13"/>
  <c r="O12"/>
  <c r="O11"/>
  <c r="O10"/>
  <c r="O9"/>
  <c r="O8"/>
  <c r="O7"/>
  <c r="O6"/>
  <c r="O5"/>
  <c r="O4"/>
  <c r="O2"/>
  <c r="X97" i="2"/>
  <c r="W97"/>
  <c r="T97"/>
  <c r="S97"/>
  <c r="L97"/>
  <c r="D19" i="1" s="1"/>
  <c r="K97" i="2"/>
  <c r="C19" i="1" s="1"/>
  <c r="G97" i="2"/>
  <c r="G18" i="13" s="1"/>
  <c r="D97" i="2"/>
  <c r="G17" i="13" s="1"/>
  <c r="C97" i="2"/>
  <c r="Y91"/>
  <c r="U91"/>
  <c r="V91" s="1"/>
  <c r="Q91"/>
  <c r="R91" s="1"/>
  <c r="M91"/>
  <c r="N91" s="1"/>
  <c r="H91"/>
  <c r="E91"/>
  <c r="Y90"/>
  <c r="U90"/>
  <c r="V90" s="1"/>
  <c r="Q90"/>
  <c r="R90" s="1"/>
  <c r="M90"/>
  <c r="N90" s="1"/>
  <c r="H90"/>
  <c r="E90"/>
  <c r="Y89"/>
  <c r="U89"/>
  <c r="V89" s="1"/>
  <c r="Q89"/>
  <c r="R89" s="1"/>
  <c r="M89"/>
  <c r="N89" s="1"/>
  <c r="H89"/>
  <c r="E89"/>
  <c r="Y88"/>
  <c r="U88"/>
  <c r="V88" s="1"/>
  <c r="Q88"/>
  <c r="R88" s="1"/>
  <c r="M88"/>
  <c r="N88" s="1"/>
  <c r="H88"/>
  <c r="E88"/>
  <c r="Y87"/>
  <c r="U87"/>
  <c r="V87" s="1"/>
  <c r="Q87"/>
  <c r="R87" s="1"/>
  <c r="M87"/>
  <c r="N87" s="1"/>
  <c r="H87"/>
  <c r="E87"/>
  <c r="Y86"/>
  <c r="U86"/>
  <c r="V86" s="1"/>
  <c r="Q86"/>
  <c r="R86" s="1"/>
  <c r="M86"/>
  <c r="N86" s="1"/>
  <c r="H86"/>
  <c r="E86"/>
  <c r="Y85"/>
  <c r="U85"/>
  <c r="V85" s="1"/>
  <c r="Q85"/>
  <c r="R85" s="1"/>
  <c r="M85"/>
  <c r="N85" s="1"/>
  <c r="H85"/>
  <c r="E85"/>
  <c r="Y84"/>
  <c r="U84"/>
  <c r="V84" s="1"/>
  <c r="Q84"/>
  <c r="R84" s="1"/>
  <c r="M84"/>
  <c r="N84" s="1"/>
  <c r="H84"/>
  <c r="E84"/>
  <c r="Y83"/>
  <c r="U83"/>
  <c r="V83" s="1"/>
  <c r="Q83"/>
  <c r="R83" s="1"/>
  <c r="M83"/>
  <c r="N83" s="1"/>
  <c r="H83"/>
  <c r="E83"/>
  <c r="Y82"/>
  <c r="U82"/>
  <c r="V82" s="1"/>
  <c r="Q82"/>
  <c r="R82" s="1"/>
  <c r="M82"/>
  <c r="N82" s="1"/>
  <c r="H82"/>
  <c r="E82"/>
  <c r="Y81"/>
  <c r="U81"/>
  <c r="V81" s="1"/>
  <c r="Q81"/>
  <c r="R81" s="1"/>
  <c r="M81"/>
  <c r="N81" s="1"/>
  <c r="H81"/>
  <c r="E81"/>
  <c r="Y80"/>
  <c r="U80"/>
  <c r="V80" s="1"/>
  <c r="Q80"/>
  <c r="R80" s="1"/>
  <c r="M80"/>
  <c r="N80" s="1"/>
  <c r="H80"/>
  <c r="E80"/>
  <c r="Y79"/>
  <c r="U79"/>
  <c r="V79" s="1"/>
  <c r="Q79"/>
  <c r="R79" s="1"/>
  <c r="M79"/>
  <c r="N79" s="1"/>
  <c r="H79"/>
  <c r="E79"/>
  <c r="Y78"/>
  <c r="U78"/>
  <c r="V78" s="1"/>
  <c r="Q78"/>
  <c r="R78" s="1"/>
  <c r="M78"/>
  <c r="N78" s="1"/>
  <c r="H78"/>
  <c r="E78"/>
  <c r="Y77"/>
  <c r="U77"/>
  <c r="V77" s="1"/>
  <c r="Q77"/>
  <c r="R77" s="1"/>
  <c r="M77"/>
  <c r="N77" s="1"/>
  <c r="H77"/>
  <c r="E77"/>
  <c r="Y76"/>
  <c r="U76"/>
  <c r="V76" s="1"/>
  <c r="Q76"/>
  <c r="R76" s="1"/>
  <c r="M76"/>
  <c r="N76" s="1"/>
  <c r="H76"/>
  <c r="E76"/>
  <c r="Y75"/>
  <c r="U75"/>
  <c r="V75" s="1"/>
  <c r="Q75"/>
  <c r="R75" s="1"/>
  <c r="M75"/>
  <c r="N75" s="1"/>
  <c r="H75"/>
  <c r="E75"/>
  <c r="Y74"/>
  <c r="U74"/>
  <c r="V74" s="1"/>
  <c r="Q74"/>
  <c r="R74" s="1"/>
  <c r="M74"/>
  <c r="N74" s="1"/>
  <c r="H74"/>
  <c r="E74"/>
  <c r="Y73"/>
  <c r="U73"/>
  <c r="V73" s="1"/>
  <c r="Q73"/>
  <c r="R73" s="1"/>
  <c r="M73"/>
  <c r="N73" s="1"/>
  <c r="H73"/>
  <c r="E73"/>
  <c r="Y72"/>
  <c r="U72"/>
  <c r="V72" s="1"/>
  <c r="Q72"/>
  <c r="R72" s="1"/>
  <c r="M72"/>
  <c r="N72" s="1"/>
  <c r="H72"/>
  <c r="E72"/>
  <c r="Y71"/>
  <c r="U71"/>
  <c r="V71" s="1"/>
  <c r="Q71"/>
  <c r="R71" s="1"/>
  <c r="M71"/>
  <c r="N71" s="1"/>
  <c r="H71"/>
  <c r="E71"/>
  <c r="Y70"/>
  <c r="U70"/>
  <c r="V70" s="1"/>
  <c r="Q70"/>
  <c r="R70" s="1"/>
  <c r="M70"/>
  <c r="N70" s="1"/>
  <c r="H70"/>
  <c r="E70"/>
  <c r="Y69"/>
  <c r="U69"/>
  <c r="V69" s="1"/>
  <c r="Q69"/>
  <c r="R69" s="1"/>
  <c r="M69"/>
  <c r="N69" s="1"/>
  <c r="H69"/>
  <c r="E69"/>
  <c r="Y68"/>
  <c r="U68"/>
  <c r="V68" s="1"/>
  <c r="Q68"/>
  <c r="R68" s="1"/>
  <c r="M68"/>
  <c r="N68" s="1"/>
  <c r="H68"/>
  <c r="E68"/>
  <c r="Y67"/>
  <c r="U67"/>
  <c r="V67" s="1"/>
  <c r="Q67"/>
  <c r="R67" s="1"/>
  <c r="M67"/>
  <c r="N67" s="1"/>
  <c r="H67"/>
  <c r="E67"/>
  <c r="Y66"/>
  <c r="U66"/>
  <c r="V66" s="1"/>
  <c r="Q66"/>
  <c r="R66" s="1"/>
  <c r="M66"/>
  <c r="N66" s="1"/>
  <c r="H66"/>
  <c r="E66"/>
  <c r="Y65"/>
  <c r="U65"/>
  <c r="V65" s="1"/>
  <c r="Q65"/>
  <c r="R65" s="1"/>
  <c r="M65"/>
  <c r="N65" s="1"/>
  <c r="H65"/>
  <c r="E65"/>
  <c r="Y64"/>
  <c r="U64"/>
  <c r="V64" s="1"/>
  <c r="Q64"/>
  <c r="R64" s="1"/>
  <c r="M64"/>
  <c r="N64" s="1"/>
  <c r="H64"/>
  <c r="E64"/>
  <c r="Y63"/>
  <c r="U63"/>
  <c r="V63" s="1"/>
  <c r="Q63"/>
  <c r="R63" s="1"/>
  <c r="M63"/>
  <c r="N63" s="1"/>
  <c r="H63"/>
  <c r="E63"/>
  <c r="Y62"/>
  <c r="U62"/>
  <c r="V62" s="1"/>
  <c r="Q62"/>
  <c r="R62" s="1"/>
  <c r="M62"/>
  <c r="N62" s="1"/>
  <c r="H62"/>
  <c r="E62"/>
  <c r="Y61"/>
  <c r="U61"/>
  <c r="V61" s="1"/>
  <c r="Q61"/>
  <c r="R61" s="1"/>
  <c r="M61"/>
  <c r="N61" s="1"/>
  <c r="H61"/>
  <c r="E61"/>
  <c r="Y60"/>
  <c r="U60"/>
  <c r="V60" s="1"/>
  <c r="Q60"/>
  <c r="R60" s="1"/>
  <c r="M60"/>
  <c r="N60" s="1"/>
  <c r="H60"/>
  <c r="E60"/>
  <c r="Y59"/>
  <c r="U59"/>
  <c r="V59" s="1"/>
  <c r="Q59"/>
  <c r="R59" s="1"/>
  <c r="M59"/>
  <c r="N59" s="1"/>
  <c r="H59"/>
  <c r="E59"/>
  <c r="Y58"/>
  <c r="U58"/>
  <c r="V58" s="1"/>
  <c r="Q58"/>
  <c r="R58" s="1"/>
  <c r="M58"/>
  <c r="N58" s="1"/>
  <c r="H58"/>
  <c r="E58"/>
  <c r="Y57"/>
  <c r="U57"/>
  <c r="V57" s="1"/>
  <c r="Q57"/>
  <c r="R57" s="1"/>
  <c r="M57"/>
  <c r="N57" s="1"/>
  <c r="H57"/>
  <c r="E57"/>
  <c r="Y56"/>
  <c r="U56"/>
  <c r="V56" s="1"/>
  <c r="Q56"/>
  <c r="R56" s="1"/>
  <c r="M56"/>
  <c r="N56" s="1"/>
  <c r="H56"/>
  <c r="E56"/>
  <c r="Y55"/>
  <c r="U55"/>
  <c r="V55" s="1"/>
  <c r="Q55"/>
  <c r="R55" s="1"/>
  <c r="M55"/>
  <c r="N55" s="1"/>
  <c r="H55"/>
  <c r="E55"/>
  <c r="Y54"/>
  <c r="U54"/>
  <c r="V54" s="1"/>
  <c r="Q54"/>
  <c r="R54" s="1"/>
  <c r="M54"/>
  <c r="N54" s="1"/>
  <c r="H54"/>
  <c r="E54"/>
  <c r="Y53"/>
  <c r="U53"/>
  <c r="V53" s="1"/>
  <c r="Q53"/>
  <c r="R53" s="1"/>
  <c r="M53"/>
  <c r="N53" s="1"/>
  <c r="H53"/>
  <c r="E53"/>
  <c r="Y52"/>
  <c r="U52"/>
  <c r="V52" s="1"/>
  <c r="Q52"/>
  <c r="R52" s="1"/>
  <c r="M52"/>
  <c r="N52" s="1"/>
  <c r="H52"/>
  <c r="E52"/>
  <c r="Y51"/>
  <c r="U51"/>
  <c r="V51" s="1"/>
  <c r="Q51"/>
  <c r="R51" s="1"/>
  <c r="M51"/>
  <c r="N51" s="1"/>
  <c r="H51"/>
  <c r="E51"/>
  <c r="Y50"/>
  <c r="U50"/>
  <c r="V50" s="1"/>
  <c r="Q50"/>
  <c r="R50" s="1"/>
  <c r="M50"/>
  <c r="N50" s="1"/>
  <c r="H50"/>
  <c r="E50"/>
  <c r="Y49"/>
  <c r="U49"/>
  <c r="V49" s="1"/>
  <c r="Q49"/>
  <c r="R49" s="1"/>
  <c r="M49"/>
  <c r="N49" s="1"/>
  <c r="H49"/>
  <c r="E49"/>
  <c r="Y48"/>
  <c r="U48"/>
  <c r="V48" s="1"/>
  <c r="Q48"/>
  <c r="R48" s="1"/>
  <c r="M48"/>
  <c r="N48" s="1"/>
  <c r="H48"/>
  <c r="E48"/>
  <c r="Y47"/>
  <c r="U47"/>
  <c r="V47" s="1"/>
  <c r="Q47"/>
  <c r="R47" s="1"/>
  <c r="M47"/>
  <c r="N47" s="1"/>
  <c r="H47"/>
  <c r="E47"/>
  <c r="Y46"/>
  <c r="U46"/>
  <c r="V46" s="1"/>
  <c r="Q46"/>
  <c r="R46" s="1"/>
  <c r="M46"/>
  <c r="N46" s="1"/>
  <c r="H46"/>
  <c r="E46"/>
  <c r="Y45"/>
  <c r="U45"/>
  <c r="V45" s="1"/>
  <c r="Q45"/>
  <c r="R45" s="1"/>
  <c r="M45"/>
  <c r="N45" s="1"/>
  <c r="H45"/>
  <c r="E45"/>
  <c r="Y44"/>
  <c r="U44"/>
  <c r="V44" s="1"/>
  <c r="Q44"/>
  <c r="R44" s="1"/>
  <c r="M44"/>
  <c r="N44" s="1"/>
  <c r="H44"/>
  <c r="E44"/>
  <c r="Y43"/>
  <c r="U43"/>
  <c r="V43" s="1"/>
  <c r="Q43"/>
  <c r="R43" s="1"/>
  <c r="M43"/>
  <c r="N43" s="1"/>
  <c r="H43"/>
  <c r="E43"/>
  <c r="Y42"/>
  <c r="U42"/>
  <c r="V42" s="1"/>
  <c r="Q42"/>
  <c r="R42" s="1"/>
  <c r="M42"/>
  <c r="N42" s="1"/>
  <c r="H42"/>
  <c r="E42"/>
  <c r="Y41"/>
  <c r="U41"/>
  <c r="V41" s="1"/>
  <c r="Q41"/>
  <c r="R41" s="1"/>
  <c r="M41"/>
  <c r="N41" s="1"/>
  <c r="E41"/>
  <c r="Y40"/>
  <c r="U40"/>
  <c r="V40" s="1"/>
  <c r="Q40"/>
  <c r="R40" s="1"/>
  <c r="M40"/>
  <c r="N40" s="1"/>
  <c r="E40"/>
  <c r="Y39"/>
  <c r="U39"/>
  <c r="V39" s="1"/>
  <c r="Q39"/>
  <c r="R39" s="1"/>
  <c r="M39"/>
  <c r="N39" s="1"/>
  <c r="E39"/>
  <c r="Y38"/>
  <c r="U38"/>
  <c r="V38" s="1"/>
  <c r="Q38"/>
  <c r="R38" s="1"/>
  <c r="M38"/>
  <c r="N38" s="1"/>
  <c r="H38"/>
  <c r="E38"/>
  <c r="Y37"/>
  <c r="U37"/>
  <c r="V37" s="1"/>
  <c r="Q37"/>
  <c r="R37" s="1"/>
  <c r="M37"/>
  <c r="N37" s="1"/>
  <c r="H37"/>
  <c r="E37"/>
  <c r="Y36"/>
  <c r="U36"/>
  <c r="V36" s="1"/>
  <c r="Q36"/>
  <c r="R36" s="1"/>
  <c r="M36"/>
  <c r="N36" s="1"/>
  <c r="E36"/>
  <c r="Y35"/>
  <c r="U35"/>
  <c r="V35" s="1"/>
  <c r="Q35"/>
  <c r="R35" s="1"/>
  <c r="M35"/>
  <c r="N35" s="1"/>
  <c r="H35"/>
  <c r="E35"/>
  <c r="Y34"/>
  <c r="U34"/>
  <c r="V34" s="1"/>
  <c r="Q34"/>
  <c r="R34" s="1"/>
  <c r="M34"/>
  <c r="N34" s="1"/>
  <c r="H34"/>
  <c r="E34"/>
  <c r="Y33"/>
  <c r="U33"/>
  <c r="V33" s="1"/>
  <c r="Q33"/>
  <c r="R33" s="1"/>
  <c r="M33"/>
  <c r="N33" s="1"/>
  <c r="H33"/>
  <c r="E33"/>
  <c r="Y32"/>
  <c r="U32"/>
  <c r="V32" s="1"/>
  <c r="Q32"/>
  <c r="R32" s="1"/>
  <c r="M32"/>
  <c r="N32" s="1"/>
  <c r="H32"/>
  <c r="E32"/>
  <c r="Y31"/>
  <c r="U31"/>
  <c r="V31" s="1"/>
  <c r="Q31"/>
  <c r="R31" s="1"/>
  <c r="M31"/>
  <c r="N31" s="1"/>
  <c r="E31"/>
  <c r="Y30"/>
  <c r="U30"/>
  <c r="V30" s="1"/>
  <c r="Q30"/>
  <c r="R30" s="1"/>
  <c r="M30"/>
  <c r="N30" s="1"/>
  <c r="H30"/>
  <c r="E30"/>
  <c r="Y29"/>
  <c r="U29"/>
  <c r="V29" s="1"/>
  <c r="Q29"/>
  <c r="R29" s="1"/>
  <c r="M29"/>
  <c r="N29" s="1"/>
  <c r="H29"/>
  <c r="E29"/>
  <c r="Y28"/>
  <c r="U28"/>
  <c r="V28" s="1"/>
  <c r="Q28"/>
  <c r="R28" s="1"/>
  <c r="M28"/>
  <c r="N28" s="1"/>
  <c r="E28"/>
  <c r="Y27"/>
  <c r="U27"/>
  <c r="V27" s="1"/>
  <c r="Q27"/>
  <c r="R27" s="1"/>
  <c r="M27"/>
  <c r="N27" s="1"/>
  <c r="H27"/>
  <c r="E27"/>
  <c r="Y26"/>
  <c r="U26"/>
  <c r="V26" s="1"/>
  <c r="Q26"/>
  <c r="R26" s="1"/>
  <c r="M26"/>
  <c r="N26" s="1"/>
  <c r="H26"/>
  <c r="E26"/>
  <c r="Y25"/>
  <c r="U25"/>
  <c r="V25" s="1"/>
  <c r="Q25"/>
  <c r="R25" s="1"/>
  <c r="M25"/>
  <c r="N25" s="1"/>
  <c r="H25"/>
  <c r="E25"/>
  <c r="Y24"/>
  <c r="U24"/>
  <c r="V24" s="1"/>
  <c r="Q24"/>
  <c r="R24" s="1"/>
  <c r="M24"/>
  <c r="N24" s="1"/>
  <c r="H24"/>
  <c r="E24"/>
  <c r="Y23"/>
  <c r="U23"/>
  <c r="V23" s="1"/>
  <c r="Q23"/>
  <c r="R23" s="1"/>
  <c r="M23"/>
  <c r="N23" s="1"/>
  <c r="H23"/>
  <c r="E23"/>
  <c r="Y22"/>
  <c r="U22"/>
  <c r="V22" s="1"/>
  <c r="Q22"/>
  <c r="R22" s="1"/>
  <c r="M22"/>
  <c r="N22" s="1"/>
  <c r="H22"/>
  <c r="E22"/>
  <c r="Y21"/>
  <c r="U21"/>
  <c r="V21" s="1"/>
  <c r="Q21"/>
  <c r="R21" s="1"/>
  <c r="M21"/>
  <c r="N21" s="1"/>
  <c r="H21"/>
  <c r="E21"/>
  <c r="Y20"/>
  <c r="U20"/>
  <c r="V20" s="1"/>
  <c r="Q20"/>
  <c r="R20" s="1"/>
  <c r="M20"/>
  <c r="N20" s="1"/>
  <c r="E20"/>
  <c r="Y19"/>
  <c r="U19"/>
  <c r="V19" s="1"/>
  <c r="Q19"/>
  <c r="R19" s="1"/>
  <c r="M19"/>
  <c r="N19" s="1"/>
  <c r="H19"/>
  <c r="E19"/>
  <c r="Y18"/>
  <c r="U18"/>
  <c r="V18" s="1"/>
  <c r="Q18"/>
  <c r="R18" s="1"/>
  <c r="M18"/>
  <c r="N18" s="1"/>
  <c r="E18"/>
  <c r="Y17"/>
  <c r="U17"/>
  <c r="V17" s="1"/>
  <c r="Q17"/>
  <c r="R17" s="1"/>
  <c r="M17"/>
  <c r="N17" s="1"/>
  <c r="H17"/>
  <c r="E17"/>
  <c r="Y16"/>
  <c r="U16"/>
  <c r="V16" s="1"/>
  <c r="Q16"/>
  <c r="R16" s="1"/>
  <c r="M16"/>
  <c r="N16" s="1"/>
  <c r="H16"/>
  <c r="E16"/>
  <c r="Y15"/>
  <c r="U15"/>
  <c r="V15" s="1"/>
  <c r="Q15"/>
  <c r="R15" s="1"/>
  <c r="M15"/>
  <c r="N15" s="1"/>
  <c r="H15"/>
  <c r="E15"/>
  <c r="Y14"/>
  <c r="U14"/>
  <c r="V14" s="1"/>
  <c r="Q14"/>
  <c r="R14" s="1"/>
  <c r="M14"/>
  <c r="N14" s="1"/>
  <c r="E14"/>
  <c r="Y13"/>
  <c r="U13"/>
  <c r="V13" s="1"/>
  <c r="Q13"/>
  <c r="R13" s="1"/>
  <c r="M13"/>
  <c r="N13" s="1"/>
  <c r="H13"/>
  <c r="E13"/>
  <c r="Y12"/>
  <c r="U12"/>
  <c r="V12" s="1"/>
  <c r="Q12"/>
  <c r="R12" s="1"/>
  <c r="M12"/>
  <c r="N12" s="1"/>
  <c r="E12"/>
  <c r="Y11"/>
  <c r="U11"/>
  <c r="V11" s="1"/>
  <c r="Q11"/>
  <c r="R11" s="1"/>
  <c r="M11"/>
  <c r="N11" s="1"/>
  <c r="H11"/>
  <c r="E11"/>
  <c r="Y10"/>
  <c r="U10"/>
  <c r="V10" s="1"/>
  <c r="Q10"/>
  <c r="R10" s="1"/>
  <c r="M10"/>
  <c r="N10" s="1"/>
  <c r="E10"/>
  <c r="Y9"/>
  <c r="U9"/>
  <c r="V9" s="1"/>
  <c r="Q9"/>
  <c r="R9" s="1"/>
  <c r="M9"/>
  <c r="N9" s="1"/>
  <c r="H9"/>
  <c r="E9"/>
  <c r="Y8"/>
  <c r="U8"/>
  <c r="V8" s="1"/>
  <c r="Q8"/>
  <c r="R8" s="1"/>
  <c r="M8"/>
  <c r="N8" s="1"/>
  <c r="H8"/>
  <c r="E8"/>
  <c r="Y7"/>
  <c r="U7"/>
  <c r="Q7"/>
  <c r="R7" s="1"/>
  <c r="M7"/>
  <c r="H7"/>
  <c r="E7"/>
  <c r="Y6"/>
  <c r="U6"/>
  <c r="V6" s="1"/>
  <c r="Q6"/>
  <c r="R6" s="1"/>
  <c r="M6"/>
  <c r="N6" s="1"/>
  <c r="H6"/>
  <c r="E6"/>
  <c r="Y5"/>
  <c r="U5"/>
  <c r="V5" s="1"/>
  <c r="Q5"/>
  <c r="R5" s="1"/>
  <c r="M5"/>
  <c r="N5" s="1"/>
  <c r="H5"/>
  <c r="E5"/>
  <c r="Y4"/>
  <c r="U4"/>
  <c r="V4" s="1"/>
  <c r="Q4"/>
  <c r="R4" s="1"/>
  <c r="M4"/>
  <c r="N4" s="1"/>
  <c r="H4"/>
  <c r="E4"/>
  <c r="Y3"/>
  <c r="U3"/>
  <c r="V3" s="1"/>
  <c r="Q3"/>
  <c r="R3" s="1"/>
  <c r="M3"/>
  <c r="N3" s="1"/>
  <c r="H3"/>
  <c r="E3"/>
  <c r="J15" i="3"/>
  <c r="I15"/>
  <c r="G15"/>
  <c r="G14" i="13" s="1"/>
  <c r="F15" i="3"/>
  <c r="D15"/>
  <c r="C15"/>
  <c r="L13"/>
  <c r="K13"/>
  <c r="H13"/>
  <c r="E13"/>
  <c r="L12"/>
  <c r="K12"/>
  <c r="H12"/>
  <c r="E12"/>
  <c r="L11"/>
  <c r="K11"/>
  <c r="H11"/>
  <c r="E11"/>
  <c r="L10"/>
  <c r="K10"/>
  <c r="H10"/>
  <c r="E10"/>
  <c r="L9"/>
  <c r="K9"/>
  <c r="L8"/>
  <c r="K8"/>
  <c r="H8"/>
  <c r="E8"/>
  <c r="L7"/>
  <c r="K7"/>
  <c r="H7"/>
  <c r="E7"/>
  <c r="L6"/>
  <c r="K6"/>
  <c r="H6"/>
  <c r="E6"/>
  <c r="L5"/>
  <c r="K5"/>
  <c r="H5"/>
  <c r="E5"/>
  <c r="L4"/>
  <c r="L15" s="1"/>
  <c r="K4"/>
  <c r="H4"/>
  <c r="H15" s="1"/>
  <c r="E4"/>
  <c r="E39" i="1"/>
  <c r="E38"/>
  <c r="C37"/>
  <c r="E37"/>
  <c r="E35"/>
  <c r="E33"/>
  <c r="D32"/>
  <c r="C29"/>
  <c r="C28"/>
  <c r="E28" s="1"/>
  <c r="D27"/>
  <c r="C27"/>
  <c r="E26"/>
  <c r="D25"/>
  <c r="D24"/>
  <c r="C24"/>
  <c r="E23"/>
  <c r="D22"/>
  <c r="C22"/>
  <c r="C17"/>
  <c r="C41" i="13"/>
  <c r="H40"/>
  <c r="H39"/>
  <c r="H38"/>
  <c r="E38"/>
  <c r="I38"/>
  <c r="H37"/>
  <c r="E37"/>
  <c r="I37" s="1"/>
  <c r="G36"/>
  <c r="E36"/>
  <c r="H35"/>
  <c r="E35"/>
  <c r="I35"/>
  <c r="E34"/>
  <c r="H33"/>
  <c r="E33"/>
  <c r="I33"/>
  <c r="G32"/>
  <c r="F32"/>
  <c r="E32"/>
  <c r="F28"/>
  <c r="H28" s="1"/>
  <c r="E28"/>
  <c r="G27"/>
  <c r="F27"/>
  <c r="H27" s="1"/>
  <c r="E27"/>
  <c r="I27" s="1"/>
  <c r="H26"/>
  <c r="I26" s="1"/>
  <c r="E26"/>
  <c r="G25"/>
  <c r="F25"/>
  <c r="H25" s="1"/>
  <c r="E25"/>
  <c r="G24"/>
  <c r="F24"/>
  <c r="E24"/>
  <c r="F23"/>
  <c r="H23" s="1"/>
  <c r="I23" s="1"/>
  <c r="E23"/>
  <c r="G22"/>
  <c r="F22"/>
  <c r="H22" s="1"/>
  <c r="E22"/>
  <c r="E19"/>
  <c r="F18"/>
  <c r="E18"/>
  <c r="F17"/>
  <c r="E17"/>
  <c r="E14"/>
  <c r="B92" i="4"/>
  <c r="B91"/>
  <c r="B83"/>
  <c r="B82"/>
  <c r="B81"/>
  <c r="I79"/>
  <c r="B73"/>
  <c r="B72"/>
  <c r="B71"/>
  <c r="I69"/>
  <c r="B63"/>
  <c r="B62"/>
  <c r="B61"/>
  <c r="I59"/>
  <c r="B53"/>
  <c r="B52"/>
  <c r="B51"/>
  <c r="I49"/>
  <c r="B43"/>
  <c r="B42"/>
  <c r="B34"/>
  <c r="B32"/>
  <c r="I31"/>
  <c r="I29"/>
  <c r="B24"/>
  <c r="B23"/>
  <c r="B15"/>
  <c r="B14"/>
  <c r="B6"/>
  <c r="B5"/>
  <c r="Y97" i="2" l="1"/>
  <c r="F19" i="13"/>
  <c r="U97" i="2"/>
  <c r="D18" i="1"/>
  <c r="F97" i="2"/>
  <c r="C18" i="1" s="1"/>
  <c r="D17"/>
  <c r="E17" s="1"/>
  <c r="G19" i="13"/>
  <c r="E19" i="1"/>
  <c r="H18" i="13"/>
  <c r="I18" s="1"/>
  <c r="H32"/>
  <c r="I32" s="1"/>
  <c r="E24" i="1"/>
  <c r="H17" i="13"/>
  <c r="I17" s="1"/>
  <c r="E22" i="1"/>
  <c r="H97" i="2"/>
  <c r="D14" i="1"/>
  <c r="K15" i="3"/>
  <c r="D18" s="1"/>
  <c r="I25" i="13"/>
  <c r="E27" i="1"/>
  <c r="E25"/>
  <c r="E15" i="3"/>
  <c r="H24" i="13"/>
  <c r="I24" s="1"/>
  <c r="M97" i="2"/>
  <c r="E97"/>
  <c r="C14" i="1"/>
  <c r="F14" i="13"/>
  <c r="G34"/>
  <c r="D34" i="1"/>
  <c r="I22" i="13"/>
  <c r="F54" i="11"/>
  <c r="F34" i="13"/>
  <c r="C34" i="1"/>
  <c r="F55" i="11"/>
  <c r="D29" i="1"/>
  <c r="D29" i="13"/>
  <c r="D36" i="1"/>
  <c r="N7" i="2"/>
  <c r="V7"/>
  <c r="H19" i="13" l="1"/>
  <c r="I19" s="1"/>
  <c r="E18" i="1"/>
  <c r="G41" i="13"/>
  <c r="H34"/>
  <c r="I34" s="1"/>
  <c r="E34" i="1"/>
  <c r="D41"/>
  <c r="E14"/>
  <c r="C36"/>
  <c r="E36" s="1"/>
  <c r="F36" i="13"/>
  <c r="H36" s="1"/>
  <c r="I36" s="1"/>
  <c r="H14"/>
  <c r="I14" s="1"/>
  <c r="D41"/>
  <c r="E29"/>
  <c r="H29"/>
  <c r="E29" i="1"/>
  <c r="F41" i="13" l="1"/>
  <c r="H41" s="1"/>
  <c r="H42" s="1"/>
  <c r="C41" i="1"/>
  <c r="E41" s="1"/>
  <c r="E42" s="1"/>
  <c r="I41" i="13"/>
  <c r="E41"/>
  <c r="E42" s="1"/>
  <c r="I29"/>
</calcChain>
</file>

<file path=xl/sharedStrings.xml><?xml version="1.0" encoding="utf-8"?>
<sst xmlns="http://schemas.openxmlformats.org/spreadsheetml/2006/main" count="678" uniqueCount="388">
  <si>
    <t>Data Source</t>
  </si>
  <si>
    <t>Report Type</t>
  </si>
  <si>
    <t>LIST</t>
  </si>
  <si>
    <t>Parms</t>
  </si>
  <si>
    <t>Filters</t>
  </si>
  <si>
    <t>DIST</t>
  </si>
  <si>
    <t>Account</t>
  </si>
  <si>
    <t>Date</t>
  </si>
  <si>
    <t>Scty Only</t>
  </si>
  <si>
    <t>PARM_Account</t>
  </si>
  <si>
    <t>PARM_From_Date</t>
  </si>
  <si>
    <t>PARM_To_Date</t>
  </si>
  <si>
    <t>N</t>
  </si>
  <si>
    <t>DIST2</t>
  </si>
  <si>
    <t>AG</t>
  </si>
  <si>
    <t>!</t>
  </si>
  <si>
    <t>CU:CA:MM:CC:R</t>
  </si>
  <si>
    <t>=</t>
  </si>
  <si>
    <t>CU:CA:MM</t>
  </si>
  <si>
    <t>Share_Cost_Mkt</t>
  </si>
  <si>
    <t>Cash</t>
  </si>
  <si>
    <t>DIST3</t>
  </si>
  <si>
    <t>CU:CC:R</t>
  </si>
  <si>
    <t>GB</t>
  </si>
  <si>
    <t>&gt;</t>
  </si>
  <si>
    <t>AI</t>
  </si>
  <si>
    <t>Dividends</t>
  </si>
  <si>
    <t>TRAN</t>
  </si>
  <si>
    <t>From Date</t>
  </si>
  <si>
    <t>To Date</t>
  </si>
  <si>
    <t>Date Type</t>
  </si>
  <si>
    <t>Tax Reclaims</t>
  </si>
  <si>
    <t>AS</t>
  </si>
  <si>
    <t>CD</t>
  </si>
  <si>
    <t>TD</t>
  </si>
  <si>
    <t>&lt;</t>
  </si>
  <si>
    <t>Interest</t>
  </si>
  <si>
    <t>DIST4</t>
  </si>
  <si>
    <t>Open Trades - Buys</t>
  </si>
  <si>
    <t>TRAN2</t>
  </si>
  <si>
    <t>CU:CA:CC:R</t>
  </si>
  <si>
    <t>T</t>
  </si>
  <si>
    <t>Open Trades - Sells</t>
  </si>
  <si>
    <t>TRAN3</t>
  </si>
  <si>
    <t>Pending FX - Buys</t>
  </si>
  <si>
    <t>TRAN4</t>
  </si>
  <si>
    <t>TRAN5</t>
  </si>
  <si>
    <t>Pending FX - Sells</t>
  </si>
  <si>
    <t>CC</t>
  </si>
  <si>
    <t>CUP:CDN</t>
  </si>
  <si>
    <t>CUSIP</t>
  </si>
  <si>
    <t>Security Name</t>
  </si>
  <si>
    <t>Shares/Par Value - SSC</t>
  </si>
  <si>
    <t>DIFFERENCE</t>
  </si>
  <si>
    <t>Base Cost - SSC</t>
  </si>
  <si>
    <t>Base Price Amount - SSC</t>
  </si>
  <si>
    <t>Base Market Value - SSC</t>
  </si>
  <si>
    <t>Local Price Amount - SSC</t>
  </si>
  <si>
    <t>Local Market Value - SSC</t>
  </si>
  <si>
    <t>Local Total Cost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</si>
  <si>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</si>
  <si>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</si>
  <si>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</si>
  <si>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</si>
  <si>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</si>
  <si>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</si>
  <si>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</si>
  <si>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</si>
  <si>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</si>
  <si>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</si>
  <si>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</si>
  <si>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</si>
  <si>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</si>
  <si>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</si>
  <si>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</si>
  <si>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New York State Teachers' Retirement System</t>
  </si>
  <si>
    <t>FUND #: NYSTRS</t>
  </si>
  <si>
    <t>PREPARED  BY:</t>
  </si>
  <si>
    <t xml:space="preserve"> TITLE:</t>
  </si>
  <si>
    <t>PHONE #</t>
  </si>
  <si>
    <t xml:space="preserve"> </t>
  </si>
  <si>
    <t>FAX #</t>
  </si>
  <si>
    <t>PER</t>
  </si>
  <si>
    <t>EXPLANATION</t>
  </si>
  <si>
    <t>MANAGER</t>
  </si>
  <si>
    <t>CUSTODIAN</t>
  </si>
  <si>
    <t>PAGE</t>
  </si>
  <si>
    <t xml:space="preserve">RESOLUTION </t>
  </si>
  <si>
    <t>ASSETS</t>
  </si>
  <si>
    <t>CASH &amp; CASH EQUIVALENTS</t>
  </si>
  <si>
    <t xml:space="preserve">LONG TERM INVESTMENTS </t>
  </si>
  <si>
    <t>Total Shares</t>
  </si>
  <si>
    <t>Cost</t>
  </si>
  <si>
    <t>Market</t>
  </si>
  <si>
    <t>RECEIVABLES</t>
  </si>
  <si>
    <t>Securities Sold - Open Trades</t>
  </si>
  <si>
    <t>Open Trades</t>
  </si>
  <si>
    <t>Dividend Tax Reclaims</t>
  </si>
  <si>
    <t>FX Contracts - BUY USD</t>
  </si>
  <si>
    <t>Pending FX</t>
  </si>
  <si>
    <t>LIABILITIES</t>
  </si>
  <si>
    <t>PAYABLES</t>
  </si>
  <si>
    <t>Securities Purchased - Open trades</t>
  </si>
  <si>
    <t>FX Contracts - SOLD USD</t>
  </si>
  <si>
    <t>Inv Mgr. Expenses</t>
  </si>
  <si>
    <t>Accrued Expense</t>
  </si>
  <si>
    <t>TOTAL NAV</t>
  </si>
  <si>
    <t>% DIFFERENCE</t>
  </si>
  <si>
    <t>Share Cost Mkt</t>
  </si>
  <si>
    <t xml:space="preserve">ADVISOR = </t>
  </si>
  <si>
    <t>RECONCILIATION  AS  OF:</t>
  </si>
  <si>
    <t>SN</t>
  </si>
  <si>
    <t>CCTUSD</t>
  </si>
  <si>
    <t>Tax Reclaims - Transactions</t>
  </si>
  <si>
    <t>Tax Reclaims - Holdings</t>
  </si>
  <si>
    <t>DIST5</t>
  </si>
  <si>
    <t>04</t>
  </si>
  <si>
    <t>CASH</t>
  </si>
  <si>
    <t>WEXP:WEXP-:DIVD-:DIVD:RECL:RECL-:RBRECL</t>
  </si>
  <si>
    <t>BUY:RBUY:RBBUY</t>
  </si>
  <si>
    <t>SELL:RSELL:RBSELL</t>
  </si>
  <si>
    <t>NOTES</t>
  </si>
  <si>
    <t>CITI</t>
  </si>
  <si>
    <t>SSC UNREALIZED APRECIATION/DEPRECIATION ON INCOME RECEIVABLES</t>
  </si>
  <si>
    <t>Base Gross Income Amount - SSC</t>
  </si>
  <si>
    <t>Gross DIVD Diff</t>
  </si>
  <si>
    <t>W/EXP Diff</t>
  </si>
  <si>
    <t>Unrealized Gain/Loss SSC</t>
  </si>
  <si>
    <t>FINDINGS</t>
  </si>
  <si>
    <t>Currency</t>
  </si>
  <si>
    <t xml:space="preserve"> Accrued Withholding Amt</t>
  </si>
  <si>
    <t>Unrealized Appr/Depr on Cash</t>
  </si>
  <si>
    <t>Unrealized Appr/Depr on Income Receivable</t>
  </si>
  <si>
    <t xml:space="preserve">  TOTAL USD BOUGHT</t>
  </si>
  <si>
    <t>Unrealized Gain on FX  Contracts</t>
  </si>
  <si>
    <t>Unrealized Loss FX Contract</t>
  </si>
  <si>
    <t>UNREALIZED GAIN ON 
FORWARD/SPOT CONTRACT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</si>
  <si>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</si>
  <si>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</si>
  <si>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</si>
  <si>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</si>
  <si>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</si>
  <si>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</si>
  <si>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</si>
  <si>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</si>
  <si>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</si>
  <si>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</si>
  <si>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Local Market Value - FA</t>
  </si>
  <si>
    <t>UNREALIZED APPRECIATION ON FOREIGN CASH (SS)</t>
  </si>
  <si>
    <t>Base Cost Value - SSC</t>
  </si>
  <si>
    <t>Base Cost Value - FA</t>
  </si>
  <si>
    <t>Unrealized Gain / Loss Base - SSC</t>
  </si>
  <si>
    <t>Unrealized Gain / Loss Base - FA</t>
  </si>
  <si>
    <t>Shares/Par Value - FA</t>
  </si>
  <si>
    <t>Base Cost - FA</t>
  </si>
  <si>
    <t>Base Market Value - FA</t>
  </si>
  <si>
    <t>Local Total Cost - FA</t>
  </si>
  <si>
    <t>FA CUSIP #</t>
  </si>
  <si>
    <t>Base Price Amount - FA</t>
  </si>
  <si>
    <t>Local Price Amount - FA</t>
  </si>
  <si>
    <t>SSC UNREALIZED  REALIZED G/L</t>
  </si>
  <si>
    <t>Amount Bought - FA</t>
  </si>
  <si>
    <t>Amount Sold - FA</t>
  </si>
  <si>
    <t>KEVIN BARTHOLOMEW</t>
  </si>
  <si>
    <t>BUSINESS ANALYST (Conversion)</t>
  </si>
  <si>
    <t>614-470-8551</t>
  </si>
  <si>
    <t>Base Net Proceed Amount - FA</t>
  </si>
  <si>
    <t>FA UNREALIZED  REALIZED G/L</t>
  </si>
  <si>
    <t>Base Net Income Amount - FA</t>
  </si>
  <si>
    <t>BUY TOTALS</t>
  </si>
  <si>
    <t>FX ACTIVITY</t>
  </si>
  <si>
    <t>FA</t>
  </si>
  <si>
    <t>SS</t>
  </si>
  <si>
    <t>Cash &amp; Cash Equivalents</t>
  </si>
  <si>
    <t>manual</t>
  </si>
  <si>
    <t>Base Gross Income Amount - FA</t>
  </si>
  <si>
    <t>Accrued Withholding Amt - FA</t>
  </si>
  <si>
    <t>Local Gross Income Amount - FA</t>
  </si>
  <si>
    <t>Difference</t>
  </si>
  <si>
    <t xml:space="preserve">COLUMNS HIDDEN: E / F / G </t>
  </si>
  <si>
    <t>TAMPA</t>
  </si>
  <si>
    <t>PER TAMPA</t>
  </si>
  <si>
    <t>PER COL-FA</t>
  </si>
  <si>
    <t>PER COLUMBUS</t>
  </si>
  <si>
    <t>COLUMBUS</t>
  </si>
  <si>
    <t>COLUMBUS VS TAMPA</t>
  </si>
  <si>
    <t xml:space="preserve">COLUMNS HIDDEN: J / O / P / S </t>
  </si>
  <si>
    <t>Local Gross Income Amount - SSC</t>
  </si>
  <si>
    <t>Dividend Tax Reclaims - Pending Projection</t>
  </si>
  <si>
    <t>NO OUTAGE - per how Columbus FA interprets this item</t>
  </si>
  <si>
    <t>rounding (1)</t>
  </si>
  <si>
    <t>OK</t>
  </si>
  <si>
    <t>Difference in Rounding for Base Amount due to FX rate breakage</t>
  </si>
  <si>
    <t>Col FA is not reflecting British Lands wexp, Tampa is</t>
  </si>
  <si>
    <t>Will Need to wait until Custodian makes payment &amp; then FA will adjust accordingly</t>
  </si>
  <si>
    <t>ALL OUTAGES have been idenitified &amp; justified - no issues using Citi Columbus Data when Citi takes over</t>
  </si>
  <si>
    <t>Base Accrued Withholding Amt - SSC</t>
  </si>
  <si>
    <t>Base Unrealized G/L SSC</t>
  </si>
  <si>
    <t>Base Tax Reclaim Rec-SSC</t>
  </si>
  <si>
    <t xml:space="preserve"> formula</t>
  </si>
  <si>
    <t>COLUMNS HIDDEN: F / G / H / L / N</t>
  </si>
  <si>
    <t>**NOTE:</t>
  </si>
  <si>
    <t xml:space="preserve">  TOTAL USD SOLD</t>
  </si>
  <si>
    <t>Monthend Investment Manager Accounting Reconciliation</t>
  </si>
  <si>
    <t>Direction for Completion:</t>
  </si>
  <si>
    <t>entirety or where explanations or resolutions have not been identified so that the manager can correct the omissions.</t>
  </si>
  <si>
    <t>Reconciliation Components:</t>
  </si>
  <si>
    <t>This Workbook contains the following worksheets:</t>
  </si>
  <si>
    <t>Schedule A</t>
  </si>
  <si>
    <t>Share-Cost-Mkt</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</si>
  <si>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</si>
  <si>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</si>
  <si>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</si>
  <si>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</si>
  <si>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</si>
  <si>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</si>
  <si>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</si>
  <si>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</si>
  <si>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</si>
  <si>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</si>
  <si>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</si>
  <si>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</si>
  <si>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</si>
  <si>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</si>
  <si>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</si>
  <si>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</si>
  <si>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</si>
  <si>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</si>
  <si>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</si>
  <si>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t>
  </si>
  <si>
    <t>James Mompoint</t>
  </si>
  <si>
    <t xml:space="preserve">(617 )664-9246 </t>
  </si>
  <si>
    <t>jmompoint@statestreet.com</t>
  </si>
  <si>
    <t>COMMENT</t>
  </si>
  <si>
    <t>UNREALIZED LOSS ON 
FORWARD/SPOT CONTRACT</t>
  </si>
  <si>
    <t>SELL TOTALS</t>
  </si>
  <si>
    <t xml:space="preserve">RECONCILIATION  AS  OF: </t>
  </si>
  <si>
    <t xml:space="preserve">FUND #: </t>
  </si>
  <si>
    <t>cashisking@statestreet.com</t>
  </si>
  <si>
    <t>NYSTRS Group Mailbox</t>
  </si>
  <si>
    <t>Basis Pt</t>
  </si>
  <si>
    <t>Variance</t>
  </si>
  <si>
    <t>NYSTRS appointed State Street (STT)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</si>
  <si>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New York State Teachers' Retirement System (NYSTRS)</t>
  </si>
  <si>
    <t>Please also reference on Schedule A, the worksheet reference page of any supporting explanations, reconciling items or calculations that supplement Schedule A.</t>
  </si>
  <si>
    <r>
      <t xml:space="preserve">NYSTRS requests as part of your investment management contract with them, you complete </t>
    </r>
    <r>
      <rPr>
        <strike/>
        <sz val="10"/>
        <rFont val="Times New Roman Greek"/>
      </rPr>
      <t xml:space="preserve">a </t>
    </r>
    <r>
      <rPr>
        <sz val="10"/>
        <rFont val="Times New Roman Greek"/>
      </rPr>
      <t xml:space="preserve"> recconciliations of accounting and performance with STT by the following due dates:</t>
    </r>
  </si>
  <si>
    <t>Schedule A totals should tie out (link to) the  summary totals from each worksheet in this workbook.  Please be sure Schedule A amounts agree with the supporting data in each worksheet.</t>
  </si>
  <si>
    <t xml:space="preserve">Please note that NYSTRS has requested that copies of the final reconciliation be provided to them and to State Street on a monthly basis. As a result, State Street Corporation has been instructed to notify NYSTRS if any </t>
  </si>
  <si>
    <t xml:space="preserve">Investment Manager reconciliation is not received in a  timely manner.  State Street has also been instructed to return to the Investment Manager, any reconciliation which has not been completed in it's </t>
  </si>
  <si>
    <t>Instructions</t>
  </si>
  <si>
    <t>Reconciliation prepared by: (enter name, phone and email)</t>
  </si>
  <si>
    <t>Reconciliation reviewed by: (enter name, phone and email)</t>
  </si>
  <si>
    <t xml:space="preserve">In order to ensure the accuracy and completeness of the official books, periodic reconciliation with external sources is necessary.  The custodial record is deemed to be accurate until proven otherwise by Investment Manager(IM).   IM is obligated to adjust their records to agree with the official accounting book of record as needed.  </t>
  </si>
  <si>
    <t xml:space="preserve">     Although not part of this recon workbook, the investment performance template is due to STT by the 7th business day of the month following the end of a reporting period.</t>
  </si>
  <si>
    <t xml:space="preserve">      Month-end accouinting reconciliation, the Investment Manager will provide a report to STT valued on the last business day of the month, and due the by COB on the 4th business day of the following month.  </t>
  </si>
  <si>
    <t xml:space="preserve">      For the intra month accouinting reconciliation, the Investment Manager will provide a report to STT valued on the 3rd Friday of the month, and due the following Tuesday.  </t>
  </si>
  <si>
    <t>PORTFOLIO CASH POSITION RECONCILIATION</t>
  </si>
  <si>
    <t>PORTFOLIO SHARE / PAR MARKET VALUE RECONCILIATION</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</si>
  <si>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3 basis points or more (of portfolio NAV) on Schedule A</t>
    </r>
    <r>
      <rPr>
        <sz val="10"/>
        <rFont val="Times New Roman Greek"/>
        <family val="1"/>
        <charset val="161"/>
      </rPr>
      <t xml:space="preserve">. </t>
    </r>
  </si>
  <si>
    <t xml:space="preserve">file to State Street at cashisking@statestreet.com and NYSTRS at NYSTRS-RRAP-TEAM@nystrs.org.  Your e-mail will constitute an electronic approval in the </t>
  </si>
  <si>
    <t>NYSTRS' Contacts:</t>
  </si>
  <si>
    <t>Gwen Genovesi</t>
  </si>
  <si>
    <t>(518 )447-2799</t>
  </si>
  <si>
    <t>gwendolyn.genovesi@nystrs.org</t>
  </si>
  <si>
    <t>NYSTRS-RRAP-TEAM@nystrs.org</t>
  </si>
  <si>
    <t>X44W</t>
  </si>
  <si>
    <t>Linda Larsen</t>
  </si>
  <si>
    <t>Hodges Capital Management</t>
  </si>
  <si>
    <t>214.954.1957</t>
  </si>
  <si>
    <t>214.954.1281</t>
  </si>
  <si>
    <t>interest</t>
  </si>
  <si>
    <t>AMERICAN AIRLINES GROUP INC COMMON STOCK</t>
  </si>
  <si>
    <t>CAL MAINE FOODS INC COMMON STOCK USD.01</t>
  </si>
  <si>
    <t>CASEY S GENERAL STORES INC COMMON STOCK NPV</t>
  </si>
  <si>
    <t>CRACKER BARREL OLD COUNTRY COMMON STOCK USD.01</t>
  </si>
  <si>
    <t>EAGLE MATERIALS INC COMMON STOCK USD.01</t>
  </si>
  <si>
    <t>ENLINK MIDSTREAM LLC COMMON STOCK USD.01</t>
  </si>
  <si>
    <t>GEO GROUP INC/THE REIT USD.01</t>
  </si>
  <si>
    <t>INDEPENDENT BANK GROUP INC COMMON STOCK USD.01</t>
  </si>
  <si>
    <t>LEGACYTEXAS FINANCIAL GROUP COMMON STOCK USD.01</t>
  </si>
  <si>
    <t>LITHIA MOTORS INC CL A COMMON STOCK NPV</t>
  </si>
  <si>
    <t>WISDOMTREE INVESTMENTS INC COMMON STOCK USD.01</t>
  </si>
  <si>
    <t>ZEP INC COMMON STOCK USD.01</t>
  </si>
  <si>
    <t>02376R102</t>
  </si>
  <si>
    <t>128030202</t>
  </si>
  <si>
    <t>147528103</t>
  </si>
  <si>
    <t>22410J106</t>
  </si>
  <si>
    <t>26969P108</t>
  </si>
  <si>
    <t>29336T100</t>
  </si>
  <si>
    <t>36162J106</t>
  </si>
  <si>
    <t>45384B106</t>
  </si>
  <si>
    <t>52471Y106</t>
  </si>
  <si>
    <t>536797103</t>
  </si>
  <si>
    <t>97717P104</t>
  </si>
  <si>
    <t>98944B108</t>
  </si>
  <si>
    <t>USD</t>
  </si>
  <si>
    <t>cash</t>
  </si>
  <si>
    <t>AEGEAN MARINE PETROLEUM NETW</t>
  </si>
  <si>
    <t>AGCO CORP</t>
  </si>
  <si>
    <t>ALAMO GROUP INC</t>
  </si>
  <si>
    <t>AMERICAN AIRLINES GROUP INC</t>
  </si>
  <si>
    <t>AMERICAN EAGLE OUTFITTERS</t>
  </si>
  <si>
    <t>AMSURG CORP</t>
  </si>
  <si>
    <t>ANALOGIC CORP</t>
  </si>
  <si>
    <t>BLACKBAUD INC</t>
  </si>
  <si>
    <t>BONANZA CREEK ENERGY INC</t>
  </si>
  <si>
    <t>BOULDER BRANDS INC</t>
  </si>
  <si>
    <t>BRINKER INTERNATIONAL INC</t>
  </si>
  <si>
    <t>CARDTRONICS INC</t>
  </si>
  <si>
    <t>CASEY S GENERAL STORES INC</t>
  </si>
  <si>
    <t>CHARLES RIVER LABORATORIES</t>
  </si>
  <si>
    <t>CINEMARK HOLDINGS INC</t>
  </si>
  <si>
    <t>CLUBCORP HOLDINGS INC</t>
  </si>
  <si>
    <t>COMMERCIAL METALS CO</t>
  </si>
  <si>
    <t>COMSTOCK RESOURCES INC</t>
  </si>
  <si>
    <t>CONTROLADORA VUELA CIA DE AV</t>
  </si>
  <si>
    <t>COOPER TIRE + RUBBER</t>
  </si>
  <si>
    <t>CRACKER BARREL OLD COUNTRY</t>
  </si>
  <si>
    <t>CREE INC</t>
  </si>
  <si>
    <t>CST BRANDS INC</t>
  </si>
  <si>
    <t>CURTISS WRIGHT CORP</t>
  </si>
  <si>
    <t>DEPOMED INC</t>
  </si>
  <si>
    <t>DIAMONDBACK ENERGY INC</t>
  </si>
  <si>
    <t>DIANA SHIPPING INC</t>
  </si>
  <si>
    <t>DIODES INC</t>
  </si>
  <si>
    <t>EAGLE MATERIALS INC</t>
  </si>
  <si>
    <t>ENCORE WIRE CORP</t>
  </si>
  <si>
    <t>ENLINK MIDSTREAM LLC</t>
  </si>
  <si>
    <t>ENTRAVISION COMMUNICATIONS A</t>
  </si>
  <si>
    <t>ESTERLINE TECHNOLOGIES CORP</t>
  </si>
  <si>
    <t>FARO TECHNOLOGIES INC</t>
  </si>
  <si>
    <t>FELCOR LODGING TRUST INC</t>
  </si>
  <si>
    <t>FORTINET INC</t>
  </si>
  <si>
    <t>G III APPAREL GROUP LTD</t>
  </si>
  <si>
    <t>GEO GROUP INC/THE</t>
  </si>
  <si>
    <t>GOGO INC</t>
  </si>
  <si>
    <t>GRAPHIC PACKAGING HOLDING CO</t>
  </si>
  <si>
    <t>GREATBATCH INC</t>
  </si>
  <si>
    <t>HAWAIIAN HOLDINGS INC</t>
  </si>
  <si>
    <t>HEARTLAND PAYMENT SYSTEMS IN</t>
  </si>
  <si>
    <t>HIBBETT SPORTS INC</t>
  </si>
  <si>
    <t>HILLTOP HOLDINGS INC</t>
  </si>
  <si>
    <t>HORIZON PHARMA PLC</t>
  </si>
  <si>
    <t>INDEPENDENT BANK GROUP INC</t>
  </si>
  <si>
    <t>INTRAWEST RESORTS HOLDINGS I</t>
  </si>
  <si>
    <t>ISHARES CORE S+P SMALL CAP ETF</t>
  </si>
  <si>
    <t>KAPSTONE PAPER AND PACKAGING</t>
  </si>
  <si>
    <t>LA QUINTA HOLDINGS INC</t>
  </si>
  <si>
    <t>LEGACYTEXAS FINANCIAL GROUP</t>
  </si>
  <si>
    <t>LITHIA MOTORS INC CL A</t>
  </si>
  <si>
    <t>LITTELFUSE INC</t>
  </si>
  <si>
    <t>MARTEN TRANSPORT LTD</t>
  </si>
  <si>
    <t>MATADOR RESOURCES CO</t>
  </si>
  <si>
    <t>MEMORIAL RESOURCE DEVELOPMEN</t>
  </si>
  <si>
    <t>MONRO MUFFLER BRAKE INC</t>
  </si>
  <si>
    <t>NATIONSTAR MORTGAGE HOLDINGS</t>
  </si>
  <si>
    <t>NATUS MEDICAL INC</t>
  </si>
  <si>
    <t>NIMBLE STORAGE INC</t>
  </si>
  <si>
    <t>NUVASIVE INC</t>
  </si>
  <si>
    <t>PILGRIM S PRIDE CORP</t>
  </si>
  <si>
    <t>POINTS INTERNATIONAL LTD</t>
  </si>
  <si>
    <t>POPEYES LOUISIANA KITCHEN IN</t>
  </si>
  <si>
    <t>PRIMORIS SERVICES CORP</t>
  </si>
  <si>
    <t>RSP PERMIAN INC</t>
  </si>
  <si>
    <t>SAIA INC</t>
  </si>
  <si>
    <t>SHOE CARNIVAL INC</t>
  </si>
  <si>
    <t>SKECHERS USA INC CL A</t>
  </si>
  <si>
    <t>SPECTRUM BRANDS HOLDINGS INC</t>
  </si>
  <si>
    <t>SPIRIT AIRLINES INC</t>
  </si>
  <si>
    <t>STEELCASE INC CL A</t>
  </si>
  <si>
    <t>STERIS CORP</t>
  </si>
  <si>
    <t>SUPER MICRO COMPUTER INC</t>
  </si>
  <si>
    <t>SWIFT TRANSPORTATION CO</t>
  </si>
  <si>
    <t>SYNAPTICS INC</t>
  </si>
  <si>
    <t>TEAM HEALTH HOLDINGS INC</t>
  </si>
  <si>
    <t>TEXAS CAPITAL BANCSHARES INC</t>
  </si>
  <si>
    <t>TEXAS PACIFIC LAND TRUST</t>
  </si>
  <si>
    <t>TIMKENSTEEL CORP</t>
  </si>
  <si>
    <t>TREMOR VIDEO INC</t>
  </si>
  <si>
    <t>TRINITY INDUSTRIES INC</t>
  </si>
  <si>
    <t>TUMI HOLDINGS INC</t>
  </si>
  <si>
    <t>UNITED STATES STEEL CORP</t>
  </si>
  <si>
    <t>US CONCRETE INC</t>
  </si>
  <si>
    <t>US SILICA HOLDINGS INC</t>
  </si>
  <si>
    <t>VAIL RESORTS INC</t>
  </si>
  <si>
    <t>WISDOMTREE INVESTMENTS INC</t>
  </si>
  <si>
    <t>Unable to verify State Street's closing price.  Should be $150.42</t>
  </si>
  <si>
    <t>State Street's TPL closing price appears to be incorrect.  It should be $150.42 according to several sources.</t>
  </si>
</sst>
</file>

<file path=xl/styles.xml><?xml version="1.0" encoding="utf-8"?>
<styleSheet xmlns="http://schemas.openxmlformats.org/spreadsheetml/2006/main">
  <numFmts count="17">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
    <numFmt numFmtId="171" formatCode="0.000000"/>
    <numFmt numFmtId="172" formatCode="#,##0.000000_);\(#,##0.000000\)"/>
    <numFmt numFmtId="173" formatCode="_(* #,##0.000000_);_(* \(#,##0.000000\);_(* &quot;-&quot;??_);_(@_)"/>
    <numFmt numFmtId="174" formatCode="#,##0.000;\(#,##0.000\)"/>
    <numFmt numFmtId="175" formatCode="#,##0.00;\(#,##0.00\)"/>
  </numFmts>
  <fonts count="78">
    <font>
      <sz val="10"/>
      <name val="Arial"/>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8"/>
      <color indexed="10"/>
      <name val="Arial"/>
      <family val="2"/>
    </font>
    <font>
      <b/>
      <sz val="10"/>
      <name val="Arial"/>
      <family val="2"/>
    </font>
    <font>
      <sz val="10"/>
      <name val="Arial"/>
      <family val="2"/>
    </font>
    <font>
      <sz val="16"/>
      <name val="Arial"/>
      <family val="2"/>
    </font>
    <font>
      <b/>
      <i/>
      <sz val="12"/>
      <name val="Arial"/>
      <family val="2"/>
    </font>
    <font>
      <b/>
      <sz val="12"/>
      <name val="Arial"/>
      <family val="2"/>
    </font>
    <font>
      <u/>
      <sz val="10"/>
      <color indexed="12"/>
      <name val="Arial"/>
      <family val="2"/>
    </font>
    <font>
      <b/>
      <i/>
      <sz val="10"/>
      <name val="Arial"/>
      <family val="2"/>
    </font>
    <font>
      <b/>
      <i/>
      <sz val="14"/>
      <name val="Arial"/>
      <family val="2"/>
    </font>
    <font>
      <b/>
      <sz val="11"/>
      <name val="Arial"/>
      <family val="2"/>
    </font>
    <font>
      <sz val="11"/>
      <name val="Arial"/>
      <family val="2"/>
    </font>
    <font>
      <sz val="18"/>
      <color indexed="10"/>
      <name val="Arial"/>
      <family val="2"/>
    </font>
    <font>
      <sz val="14"/>
      <color indexed="10"/>
      <name val="Arial"/>
      <family val="2"/>
    </font>
    <font>
      <i/>
      <sz val="12"/>
      <color indexed="10"/>
      <name val="Arial"/>
      <family val="2"/>
    </font>
    <font>
      <i/>
      <sz val="8"/>
      <name val="Arial"/>
      <family val="2"/>
    </font>
    <font>
      <i/>
      <sz val="11"/>
      <color indexed="12"/>
      <name val="Arial"/>
      <family val="2"/>
    </font>
    <font>
      <sz val="11"/>
      <color indexed="12"/>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12"/>
      <color indexed="10"/>
      <name val="Arial"/>
      <family val="2"/>
    </font>
    <font>
      <sz val="8"/>
      <name val="Arial"/>
      <family val="2"/>
    </font>
    <font>
      <sz val="9"/>
      <color indexed="8"/>
      <name val="Arial"/>
      <family val="2"/>
    </font>
    <font>
      <sz val="9"/>
      <name val="Arial"/>
      <family val="2"/>
    </font>
    <font>
      <b/>
      <sz val="9"/>
      <name val="Arial"/>
      <family val="2"/>
    </font>
    <font>
      <b/>
      <sz val="9"/>
      <color indexed="10"/>
      <name val="Arial"/>
      <family val="2"/>
    </font>
    <font>
      <sz val="10"/>
      <color indexed="8"/>
      <name val="Arial"/>
      <family val="2"/>
    </font>
    <font>
      <sz val="10"/>
      <color indexed="10"/>
      <name val="Arial"/>
      <family val="2"/>
    </font>
    <font>
      <sz val="10"/>
      <color indexed="8"/>
      <name val="Arial"/>
      <family val="2"/>
    </font>
    <font>
      <sz val="10"/>
      <color indexed="8"/>
      <name val="Arial"/>
      <family val="2"/>
    </font>
    <font>
      <sz val="10"/>
      <color indexed="8"/>
      <name val="Calibri"/>
      <family val="2"/>
    </font>
    <font>
      <sz val="9"/>
      <color indexed="8"/>
      <name val="Arial"/>
      <family val="2"/>
    </font>
    <font>
      <i/>
      <sz val="10"/>
      <color indexed="10"/>
      <name val="Arial"/>
      <family val="2"/>
    </font>
    <font>
      <b/>
      <sz val="10"/>
      <color indexed="10"/>
      <name val="Arial"/>
      <family val="2"/>
    </font>
    <font>
      <sz val="10"/>
      <color indexed="10"/>
      <name val="Arial"/>
      <family val="2"/>
    </font>
    <font>
      <sz val="10"/>
      <color indexed="8"/>
      <name val="Arial"/>
      <family val="2"/>
    </font>
    <font>
      <i/>
      <sz val="10"/>
      <name val="Arial"/>
      <family val="2"/>
    </font>
    <font>
      <strike/>
      <sz val="10"/>
      <name val="Times New Roman Greek"/>
    </font>
    <font>
      <sz val="10"/>
      <name val="Times New Roman Greek"/>
    </font>
    <font>
      <sz val="11"/>
      <name val="Calibri"/>
      <family val="2"/>
    </font>
    <font>
      <sz val="10"/>
      <name val="Calibri"/>
      <family val="2"/>
    </font>
    <font>
      <sz val="10"/>
      <name val="Times New Roman"/>
      <family val="1"/>
    </font>
    <font>
      <b/>
      <sz val="10"/>
      <name val="Times New Roman Greek"/>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Tahoma"/>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Arial"/>
    </font>
  </fonts>
  <fills count="45">
    <fill>
      <patternFill patternType="none"/>
    </fill>
    <fill>
      <patternFill patternType="gray125"/>
    </fill>
    <fill>
      <patternFill patternType="solid">
        <fgColor indexed="41"/>
        <bgColor indexed="64"/>
      </patternFill>
    </fill>
    <fill>
      <patternFill patternType="solid">
        <fgColor indexed="11"/>
        <bgColor indexed="64"/>
      </patternFill>
    </fill>
    <fill>
      <patternFill patternType="solid">
        <fgColor indexed="40"/>
        <bgColor indexed="64"/>
      </patternFill>
    </fill>
    <fill>
      <patternFill patternType="solid">
        <fgColor indexed="45"/>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indexed="13"/>
        <bgColor indexed="64"/>
      </patternFill>
    </fill>
    <fill>
      <patternFill patternType="solid">
        <fgColor indexed="55"/>
        <bgColor indexed="64"/>
      </patternFill>
    </fill>
    <fill>
      <patternFill patternType="solid">
        <fgColor indexed="4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11">
    <xf numFmtId="0" fontId="0" fillId="0" borderId="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60"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60" fillId="37" borderId="0" applyNumberFormat="0" applyBorder="0" applyAlignment="0" applyProtection="0"/>
    <xf numFmtId="0" fontId="61" fillId="38" borderId="0" applyNumberFormat="0" applyBorder="0" applyAlignment="0" applyProtection="0"/>
    <xf numFmtId="0" fontId="62" fillId="39" borderId="47" applyNumberFormat="0" applyAlignment="0" applyProtection="0"/>
    <xf numFmtId="0" fontId="63" fillId="40" borderId="48" applyNumberFormat="0" applyAlignment="0" applyProtection="0"/>
    <xf numFmtId="43" fontId="6" fillId="0" borderId="0" applyFont="0" applyFill="0" applyBorder="0" applyAlignment="0" applyProtection="0"/>
    <xf numFmtId="43" fontId="5" fillId="0" borderId="0" applyFont="0" applyFill="0" applyBorder="0" applyAlignment="0" applyProtection="0"/>
    <xf numFmtId="43" fontId="45" fillId="0" borderId="0" applyFont="0" applyFill="0" applyBorder="0" applyAlignment="0" applyProtection="0">
      <alignment vertical="top"/>
    </xf>
    <xf numFmtId="43" fontId="2" fillId="0" borderId="0" applyFont="0" applyFill="0" applyBorder="0" applyAlignment="0" applyProtection="0"/>
    <xf numFmtId="43" fontId="3" fillId="0" borderId="0" applyFont="0" applyFill="0" applyBorder="0" applyAlignment="0" applyProtection="0"/>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5" fillId="0" borderId="0" applyFont="0" applyFill="0" applyBorder="0" applyAlignment="0" applyProtection="0"/>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 fillId="0" borderId="0" applyFont="0" applyFill="0" applyBorder="0" applyAlignment="0" applyProtection="0"/>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5" fillId="0" borderId="0" applyFont="0" applyFill="0" applyBorder="0" applyAlignment="0" applyProtection="0"/>
    <xf numFmtId="43" fontId="42" fillId="0" borderId="0" applyFont="0" applyFill="0" applyBorder="0" applyAlignment="0" applyProtection="0">
      <alignment vertical="top"/>
    </xf>
    <xf numFmtId="43" fontId="42"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5" fillId="0" borderId="0" applyFont="0" applyFill="0" applyBorder="0" applyAlignment="0" applyProtection="0"/>
    <xf numFmtId="44" fontId="6" fillId="0" borderId="0" applyFont="0" applyFill="0" applyBorder="0" applyAlignment="0" applyProtection="0"/>
    <xf numFmtId="0" fontId="64" fillId="0" borderId="0" applyNumberFormat="0" applyFill="0" applyBorder="0" applyAlignment="0" applyProtection="0"/>
    <xf numFmtId="0" fontId="65" fillId="41" borderId="0" applyNumberFormat="0" applyBorder="0" applyAlignment="0" applyProtection="0"/>
    <xf numFmtId="0" fontId="66" fillId="0" borderId="49" applyNumberFormat="0" applyFill="0" applyAlignment="0" applyProtection="0"/>
    <xf numFmtId="0" fontId="67" fillId="0" borderId="50" applyNumberFormat="0" applyFill="0" applyAlignment="0" applyProtection="0"/>
    <xf numFmtId="0" fontId="68" fillId="0" borderId="51" applyNumberFormat="0" applyFill="0" applyAlignment="0" applyProtection="0"/>
    <xf numFmtId="0" fontId="68" fillId="0" borderId="0" applyNumberFormat="0" applyFill="0" applyBorder="0" applyAlignment="0" applyProtection="0"/>
    <xf numFmtId="0" fontId="13" fillId="0" borderId="0" applyNumberFormat="0" applyFill="0" applyBorder="0" applyAlignment="0" applyProtection="0">
      <alignment vertical="top"/>
      <protection locked="0"/>
    </xf>
    <xf numFmtId="0" fontId="69" fillId="42" borderId="47" applyNumberFormat="0" applyAlignment="0" applyProtection="0"/>
    <xf numFmtId="0" fontId="70" fillId="0" borderId="52" applyNumberFormat="0" applyFill="0" applyAlignment="0" applyProtection="0"/>
    <xf numFmtId="0" fontId="71" fillId="43" borderId="0" applyNumberFormat="0" applyBorder="0" applyAlignment="0" applyProtection="0"/>
    <xf numFmtId="0" fontId="51" fillId="0" borderId="0">
      <alignment vertical="top"/>
    </xf>
    <xf numFmtId="0" fontId="59" fillId="0" borderId="0"/>
    <xf numFmtId="0" fontId="59" fillId="0" borderId="0"/>
    <xf numFmtId="0" fontId="51" fillId="0" borderId="0">
      <alignment vertical="top"/>
    </xf>
    <xf numFmtId="0" fontId="59" fillId="0" borderId="0"/>
    <xf numFmtId="0" fontId="9" fillId="0" borderId="0"/>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59" fillId="0" borderId="0"/>
    <xf numFmtId="0" fontId="51" fillId="0" borderId="0">
      <alignment vertical="top"/>
    </xf>
    <xf numFmtId="0" fontId="51" fillId="0" borderId="0">
      <alignment vertical="top"/>
    </xf>
    <xf numFmtId="0" fontId="42" fillId="0" borderId="0">
      <alignment vertical="top"/>
    </xf>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45" fillId="0" borderId="0">
      <alignment vertical="top"/>
    </xf>
    <xf numFmtId="0" fontId="59" fillId="0" borderId="0"/>
    <xf numFmtId="0" fontId="59" fillId="0" borderId="0"/>
    <xf numFmtId="0" fontId="59" fillId="0" borderId="0"/>
    <xf numFmtId="0" fontId="59" fillId="0" borderId="0"/>
    <xf numFmtId="0" fontId="72" fillId="0" borderId="0"/>
    <xf numFmtId="0" fontId="59" fillId="0" borderId="0"/>
    <xf numFmtId="0" fontId="59" fillId="0" borderId="0"/>
    <xf numFmtId="0" fontId="5" fillId="44" borderId="53" applyNumberFormat="0" applyFont="0" applyAlignment="0" applyProtection="0"/>
    <xf numFmtId="0" fontId="5" fillId="44" borderId="53" applyNumberFormat="0" applyFont="0" applyAlignment="0" applyProtection="0"/>
    <xf numFmtId="0" fontId="5" fillId="44" borderId="53" applyNumberFormat="0" applyFont="0" applyAlignment="0" applyProtection="0"/>
    <xf numFmtId="0" fontId="4"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5"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3" fillId="44" borderId="53" applyNumberFormat="0" applyFont="0" applyAlignment="0" applyProtection="0"/>
    <xf numFmtId="0" fontId="2" fillId="44" borderId="53" applyNumberFormat="0" applyFont="0" applyAlignment="0" applyProtection="0"/>
    <xf numFmtId="0" fontId="1" fillId="44" borderId="53" applyNumberFormat="0" applyFont="0" applyAlignment="0" applyProtection="0"/>
    <xf numFmtId="0" fontId="5" fillId="44" borderId="53" applyNumberFormat="0" applyFont="0" applyAlignment="0" applyProtection="0"/>
    <xf numFmtId="0" fontId="1" fillId="44" borderId="53" applyNumberFormat="0" applyFont="0" applyAlignment="0" applyProtection="0"/>
    <xf numFmtId="0" fontId="1" fillId="44" borderId="53" applyNumberFormat="0" applyFont="0" applyAlignment="0" applyProtection="0"/>
    <xf numFmtId="0" fontId="1" fillId="44" borderId="53" applyNumberFormat="0" applyFont="0" applyAlignment="0" applyProtection="0"/>
    <xf numFmtId="0" fontId="1" fillId="44" borderId="53" applyNumberFormat="0" applyFont="0" applyAlignment="0" applyProtection="0"/>
    <xf numFmtId="0" fontId="1" fillId="44" borderId="53" applyNumberFormat="0" applyFont="0" applyAlignment="0" applyProtection="0"/>
    <xf numFmtId="0" fontId="5" fillId="44" borderId="53" applyNumberFormat="0" applyFont="0" applyAlignment="0" applyProtection="0"/>
    <xf numFmtId="0" fontId="5" fillId="44" borderId="53" applyNumberFormat="0" applyFont="0" applyAlignment="0" applyProtection="0"/>
    <xf numFmtId="0" fontId="5" fillId="44" borderId="53" applyNumberFormat="0" applyFont="0" applyAlignment="0" applyProtection="0"/>
    <xf numFmtId="0" fontId="5" fillId="44" borderId="53" applyNumberFormat="0" applyFont="0" applyAlignment="0" applyProtection="0"/>
    <xf numFmtId="0" fontId="5" fillId="44" borderId="53" applyNumberFormat="0" applyFont="0" applyAlignment="0" applyProtection="0"/>
    <xf numFmtId="0" fontId="5" fillId="44" borderId="53" applyNumberFormat="0" applyFont="0" applyAlignment="0" applyProtection="0"/>
    <xf numFmtId="0" fontId="73" fillId="39" borderId="54" applyNumberFormat="0" applyAlignment="0" applyProtection="0"/>
    <xf numFmtId="9" fontId="6" fillId="0" borderId="0" applyFont="0" applyFill="0" applyBorder="0" applyAlignment="0" applyProtection="0"/>
    <xf numFmtId="0" fontId="74" fillId="0" borderId="0" applyNumberFormat="0" applyFill="0" applyBorder="0" applyAlignment="0" applyProtection="0"/>
    <xf numFmtId="0" fontId="75" fillId="0" borderId="55" applyNumberFormat="0" applyFill="0" applyAlignment="0" applyProtection="0"/>
    <xf numFmtId="0" fontId="76" fillId="0" borderId="0" applyNumberFormat="0" applyFill="0" applyBorder="0" applyAlignment="0" applyProtection="0"/>
  </cellStyleXfs>
  <cellXfs count="500">
    <xf numFmtId="0" fontId="0" fillId="0" borderId="0" xfId="0"/>
    <xf numFmtId="15" fontId="0" fillId="0" borderId="0" xfId="0" applyNumberFormat="1"/>
    <xf numFmtId="0" fontId="7" fillId="0" borderId="0" xfId="0" applyFont="1"/>
    <xf numFmtId="0" fontId="0" fillId="0" borderId="0" xfId="0" applyAlignment="1">
      <alignment horizontal="left"/>
    </xf>
    <xf numFmtId="14" fontId="0" fillId="0" borderId="0" xfId="0" applyNumberFormat="1"/>
    <xf numFmtId="0" fontId="8" fillId="0" borderId="0" xfId="0" applyFont="1"/>
    <xf numFmtId="0" fontId="8" fillId="0" borderId="0" xfId="0" applyFont="1" applyAlignment="1">
      <alignment horizontal="center" wrapText="1"/>
    </xf>
    <xf numFmtId="0" fontId="8" fillId="0" borderId="0" xfId="0" applyFont="1" applyAlignment="1">
      <alignment horizontal="right"/>
    </xf>
    <xf numFmtId="44" fontId="8" fillId="0" borderId="1" xfId="0" applyNumberFormat="1" applyFont="1" applyBorder="1"/>
    <xf numFmtId="0" fontId="8" fillId="0" borderId="0" xfId="0" applyFont="1" applyProtection="1"/>
    <xf numFmtId="0" fontId="9" fillId="0" borderId="0" xfId="0" applyFont="1" applyProtection="1"/>
    <xf numFmtId="0" fontId="9" fillId="0" borderId="0" xfId="0" applyFont="1"/>
    <xf numFmtId="0" fontId="9" fillId="0" borderId="0" xfId="0" applyFont="1" applyAlignment="1" applyProtection="1">
      <alignment horizontal="right"/>
    </xf>
    <xf numFmtId="0" fontId="9" fillId="0" borderId="0" xfId="0" applyFont="1" applyBorder="1" applyProtection="1"/>
    <xf numFmtId="0" fontId="10" fillId="0" borderId="0" xfId="0" applyFont="1" applyAlignment="1" applyProtection="1">
      <alignment horizontal="right"/>
    </xf>
    <xf numFmtId="0" fontId="9" fillId="0" borderId="0" xfId="0" applyFont="1" applyBorder="1" applyAlignment="1" applyProtection="1">
      <alignment horizontal="right"/>
    </xf>
    <xf numFmtId="0" fontId="8" fillId="0" borderId="0" xfId="0" applyFont="1" applyBorder="1" applyAlignment="1" applyProtection="1">
      <alignment horizontal="center"/>
    </xf>
    <xf numFmtId="0" fontId="8" fillId="0" borderId="2" xfId="0" applyFont="1" applyBorder="1" applyAlignment="1" applyProtection="1">
      <alignment horizontal="center"/>
    </xf>
    <xf numFmtId="0" fontId="11" fillId="0" borderId="0" xfId="0" applyFont="1" applyBorder="1" applyAlignment="1" applyProtection="1">
      <alignment horizontal="center"/>
    </xf>
    <xf numFmtId="0" fontId="0" fillId="0" borderId="0" xfId="0" quotePrefix="1"/>
    <xf numFmtId="0" fontId="12" fillId="0" borderId="3" xfId="0" applyFont="1" applyBorder="1"/>
    <xf numFmtId="0" fontId="8" fillId="0" borderId="3" xfId="0" applyFont="1" applyBorder="1" applyProtection="1"/>
    <xf numFmtId="0" fontId="8" fillId="0" borderId="3" xfId="0" applyFont="1" applyBorder="1" applyAlignment="1" applyProtection="1">
      <alignment horizontal="left"/>
    </xf>
    <xf numFmtId="0" fontId="8" fillId="0" borderId="4" xfId="0" applyFont="1" applyFill="1" applyBorder="1" applyAlignment="1">
      <alignment horizontal="center" wrapText="1"/>
    </xf>
    <xf numFmtId="0" fontId="8" fillId="0" borderId="4" xfId="0" applyFont="1" applyBorder="1" applyAlignment="1">
      <alignment horizontal="center" wrapText="1"/>
    </xf>
    <xf numFmtId="0" fontId="9" fillId="0" borderId="5" xfId="0" applyFont="1" applyBorder="1" applyProtection="1"/>
    <xf numFmtId="0" fontId="9" fillId="0" borderId="5" xfId="0" applyFont="1" applyBorder="1" applyAlignment="1" applyProtection="1">
      <alignment horizontal="left"/>
    </xf>
    <xf numFmtId="0" fontId="9" fillId="0" borderId="5" xfId="0" applyFont="1" applyBorder="1" applyAlignment="1" applyProtection="1">
      <alignment horizontal="center"/>
    </xf>
    <xf numFmtId="0" fontId="8" fillId="0" borderId="0" xfId="0" applyFont="1" applyBorder="1" applyAlignment="1" applyProtection="1">
      <alignment horizontal="left"/>
    </xf>
    <xf numFmtId="0" fontId="9" fillId="0" borderId="2" xfId="0" applyFont="1" applyBorder="1" applyAlignment="1" applyProtection="1">
      <alignment horizontal="left"/>
    </xf>
    <xf numFmtId="0" fontId="9" fillId="2" borderId="2" xfId="0" applyFont="1" applyFill="1" applyBorder="1" applyProtection="1">
      <protection locked="0"/>
    </xf>
    <xf numFmtId="0" fontId="9" fillId="2" borderId="2" xfId="0" applyFont="1" applyFill="1" applyBorder="1" applyAlignment="1" applyProtection="1">
      <alignment wrapText="1"/>
      <protection locked="0"/>
    </xf>
    <xf numFmtId="164" fontId="9" fillId="0" borderId="0" xfId="292" applyNumberFormat="1" applyFont="1" applyBorder="1" applyProtection="1"/>
    <xf numFmtId="0" fontId="9" fillId="0" borderId="0" xfId="0" applyFont="1" applyFill="1" applyBorder="1" applyProtection="1"/>
    <xf numFmtId="0" fontId="9" fillId="0" borderId="0" xfId="0" applyFont="1" applyFill="1" applyBorder="1" applyAlignment="1" applyProtection="1">
      <alignment wrapText="1"/>
    </xf>
    <xf numFmtId="0" fontId="8" fillId="0" borderId="0" xfId="0" applyFont="1" applyBorder="1" applyProtection="1"/>
    <xf numFmtId="0" fontId="9" fillId="0" borderId="2" xfId="0" applyFont="1" applyBorder="1" applyProtection="1"/>
    <xf numFmtId="0" fontId="9" fillId="0" borderId="0" xfId="0" applyFont="1" applyFill="1" applyBorder="1" applyProtection="1">
      <protection locked="0"/>
    </xf>
    <xf numFmtId="9" fontId="9" fillId="0" borderId="0" xfId="407" applyFont="1" applyFill="1" applyBorder="1" applyAlignment="1" applyProtection="1">
      <alignment horizontal="centerContinuous"/>
      <protection locked="0"/>
    </xf>
    <xf numFmtId="0" fontId="14" fillId="0" borderId="2" xfId="0" applyFont="1" applyBorder="1" applyAlignment="1" applyProtection="1">
      <alignment horizontal="center"/>
    </xf>
    <xf numFmtId="0" fontId="9" fillId="0" borderId="0" xfId="0" quotePrefix="1" applyFont="1" applyAlignment="1" applyProtection="1">
      <alignment horizontal="left"/>
    </xf>
    <xf numFmtId="164" fontId="9" fillId="0" borderId="2" xfId="292" applyNumberFormat="1" applyFont="1" applyFill="1" applyBorder="1" applyProtection="1">
      <protection locked="0"/>
    </xf>
    <xf numFmtId="164" fontId="9" fillId="0" borderId="2" xfId="292" applyNumberFormat="1" applyFont="1" applyFill="1" applyBorder="1" applyProtection="1"/>
    <xf numFmtId="164" fontId="9" fillId="0" borderId="0" xfId="292" applyNumberFormat="1" applyFont="1" applyFill="1" applyBorder="1" applyProtection="1"/>
    <xf numFmtId="14" fontId="8" fillId="0" borderId="5" xfId="0" applyNumberFormat="1" applyFont="1" applyBorder="1" applyAlignment="1" applyProtection="1">
      <alignment horizontal="center"/>
    </xf>
    <xf numFmtId="0" fontId="8" fillId="0" borderId="5" xfId="0" applyFont="1" applyBorder="1" applyProtection="1"/>
    <xf numFmtId="0" fontId="8" fillId="0" borderId="0" xfId="0" applyFont="1" applyFill="1" applyBorder="1" applyAlignment="1">
      <alignment horizontal="center" wrapText="1"/>
    </xf>
    <xf numFmtId="44" fontId="8" fillId="0" borderId="0" xfId="0" applyNumberFormat="1" applyFont="1" applyBorder="1"/>
    <xf numFmtId="44" fontId="8" fillId="0" borderId="1" xfId="0" applyNumberFormat="1" applyFont="1" applyFill="1" applyBorder="1"/>
    <xf numFmtId="0" fontId="8" fillId="0" borderId="0" xfId="0" applyFont="1" applyFill="1"/>
    <xf numFmtId="164" fontId="9" fillId="0" borderId="0" xfId="0" applyNumberFormat="1" applyFont="1" applyProtection="1"/>
    <xf numFmtId="0" fontId="16" fillId="2" borderId="2" xfId="0" applyFont="1" applyFill="1" applyBorder="1" applyAlignment="1" applyProtection="1">
      <alignment wrapText="1"/>
      <protection locked="0"/>
    </xf>
    <xf numFmtId="0" fontId="17" fillId="0" borderId="0" xfId="0" applyFont="1" applyFill="1" applyBorder="1" applyAlignment="1" applyProtection="1">
      <alignment wrapText="1"/>
    </xf>
    <xf numFmtId="0" fontId="17" fillId="2" borderId="2" xfId="0" applyFont="1" applyFill="1" applyBorder="1" applyAlignment="1" applyProtection="1">
      <alignment wrapText="1"/>
      <protection locked="0"/>
    </xf>
    <xf numFmtId="0" fontId="17" fillId="0" borderId="0" xfId="0" applyFont="1" applyProtection="1"/>
    <xf numFmtId="44" fontId="8" fillId="0" borderId="1" xfId="0" applyNumberFormat="1" applyFont="1" applyBorder="1" applyAlignment="1">
      <alignment horizontal="center"/>
    </xf>
    <xf numFmtId="0" fontId="8" fillId="0" borderId="0" xfId="0" applyFont="1" applyFill="1" applyAlignment="1">
      <alignment horizontal="center" wrapText="1"/>
    </xf>
    <xf numFmtId="43" fontId="8" fillId="0" borderId="1" xfId="292" applyFont="1" applyFill="1" applyBorder="1"/>
    <xf numFmtId="0" fontId="18" fillId="2" borderId="2" xfId="0" applyFont="1" applyFill="1" applyBorder="1" applyAlignment="1" applyProtection="1">
      <alignment wrapText="1"/>
      <protection locked="0"/>
    </xf>
    <xf numFmtId="0" fontId="19" fillId="2" borderId="2" xfId="0" applyFont="1" applyFill="1" applyBorder="1" applyAlignment="1" applyProtection="1">
      <alignment wrapText="1"/>
      <protection locked="0"/>
    </xf>
    <xf numFmtId="164" fontId="9" fillId="3" borderId="2" xfId="292" applyNumberFormat="1" applyFont="1" applyFill="1" applyBorder="1" applyProtection="1"/>
    <xf numFmtId="8" fontId="9" fillId="3" borderId="2" xfId="292" applyNumberFormat="1" applyFont="1" applyFill="1" applyBorder="1" applyProtection="1">
      <protection locked="0"/>
    </xf>
    <xf numFmtId="0" fontId="17" fillId="0" borderId="2" xfId="0" applyFont="1" applyBorder="1" applyProtection="1"/>
    <xf numFmtId="0" fontId="8" fillId="4" borderId="0" xfId="0" applyFont="1" applyFill="1" applyAlignment="1">
      <alignment horizontal="center" wrapText="1"/>
    </xf>
    <xf numFmtId="44" fontId="8" fillId="4" borderId="1" xfId="0" applyNumberFormat="1" applyFont="1" applyFill="1" applyBorder="1"/>
    <xf numFmtId="43" fontId="8" fillId="4" borderId="1" xfId="292" applyFont="1" applyFill="1" applyBorder="1"/>
    <xf numFmtId="0" fontId="8" fillId="4" borderId="4" xfId="0" applyFont="1" applyFill="1" applyBorder="1" applyAlignment="1">
      <alignment horizontal="center" wrapText="1"/>
    </xf>
    <xf numFmtId="0" fontId="8" fillId="0" borderId="0" xfId="0" applyFont="1" applyBorder="1" applyAlignment="1">
      <alignment horizontal="right"/>
    </xf>
    <xf numFmtId="0" fontId="20" fillId="2" borderId="2" xfId="0" applyFont="1" applyFill="1" applyBorder="1" applyAlignment="1" applyProtection="1">
      <alignment wrapText="1"/>
      <protection locked="0"/>
    </xf>
    <xf numFmtId="0" fontId="8" fillId="0" borderId="6" xfId="0" applyFont="1" applyBorder="1" applyAlignment="1" applyProtection="1">
      <alignment horizontal="center"/>
    </xf>
    <xf numFmtId="164" fontId="9" fillId="0" borderId="6" xfId="292" applyNumberFormat="1" applyFont="1" applyBorder="1" applyProtection="1"/>
    <xf numFmtId="0" fontId="17" fillId="0" borderId="7" xfId="0" applyFont="1" applyBorder="1" applyAlignment="1" applyProtection="1">
      <alignment horizontal="left"/>
    </xf>
    <xf numFmtId="0" fontId="17" fillId="0" borderId="7" xfId="0" applyFont="1" applyFill="1" applyBorder="1" applyAlignment="1" applyProtection="1">
      <alignment horizontal="left"/>
    </xf>
    <xf numFmtId="0" fontId="17" fillId="0" borderId="7" xfId="0" applyFont="1" applyBorder="1" applyProtection="1"/>
    <xf numFmtId="0" fontId="17" fillId="0" borderId="7" xfId="0" quotePrefix="1" applyFont="1" applyBorder="1" applyAlignment="1" applyProtection="1">
      <alignment horizontal="left"/>
    </xf>
    <xf numFmtId="0" fontId="9" fillId="0" borderId="7" xfId="0" applyFont="1" applyBorder="1" applyProtection="1"/>
    <xf numFmtId="0" fontId="15" fillId="0" borderId="7" xfId="0" applyFont="1" applyBorder="1" applyAlignment="1" applyProtection="1">
      <alignment horizontal="center"/>
    </xf>
    <xf numFmtId="0" fontId="9" fillId="0" borderId="8" xfId="0" applyFont="1" applyBorder="1" applyProtection="1"/>
    <xf numFmtId="0" fontId="8" fillId="0" borderId="9" xfId="0" applyFont="1" applyBorder="1" applyAlignment="1" applyProtection="1">
      <alignment horizontal="center"/>
    </xf>
    <xf numFmtId="0" fontId="8" fillId="0" borderId="10" xfId="0" applyFont="1" applyBorder="1" applyAlignment="1" applyProtection="1">
      <alignment horizontal="center"/>
    </xf>
    <xf numFmtId="0" fontId="8" fillId="0" borderId="11" xfId="0" applyFont="1" applyBorder="1" applyAlignment="1" applyProtection="1">
      <alignment horizontal="center"/>
    </xf>
    <xf numFmtId="0" fontId="8" fillId="0" borderId="12" xfId="0" applyFont="1" applyBorder="1" applyAlignment="1" applyProtection="1">
      <alignment horizontal="center"/>
    </xf>
    <xf numFmtId="0" fontId="8" fillId="0" borderId="13" xfId="0" applyFont="1" applyBorder="1" applyAlignment="1" applyProtection="1">
      <alignment horizontal="center"/>
    </xf>
    <xf numFmtId="0" fontId="8" fillId="0" borderId="14" xfId="0" applyFont="1" applyBorder="1" applyAlignment="1" applyProtection="1">
      <alignment horizontal="center"/>
    </xf>
    <xf numFmtId="0" fontId="8" fillId="0" borderId="15" xfId="0" applyFont="1" applyBorder="1" applyAlignment="1" applyProtection="1">
      <alignment horizontal="center"/>
    </xf>
    <xf numFmtId="0" fontId="9" fillId="0" borderId="14" xfId="0" applyFont="1" applyBorder="1" applyProtection="1"/>
    <xf numFmtId="0" fontId="9" fillId="0" borderId="15" xfId="0" applyFont="1" applyBorder="1" applyProtection="1"/>
    <xf numFmtId="164" fontId="9" fillId="0" borderId="14" xfId="292" applyNumberFormat="1" applyFont="1" applyBorder="1" applyProtection="1"/>
    <xf numFmtId="164" fontId="9" fillId="0" borderId="15" xfId="292" applyNumberFormat="1" applyFont="1" applyBorder="1" applyProtection="1"/>
    <xf numFmtId="41" fontId="9" fillId="0" borderId="14" xfId="0" applyNumberFormat="1" applyFont="1" applyBorder="1" applyProtection="1"/>
    <xf numFmtId="164" fontId="9" fillId="0" borderId="12" xfId="292" applyNumberFormat="1" applyFont="1" applyBorder="1" applyProtection="1"/>
    <xf numFmtId="164" fontId="9" fillId="0" borderId="13" xfId="292" applyNumberFormat="1" applyFont="1" applyBorder="1" applyProtection="1"/>
    <xf numFmtId="164" fontId="9" fillId="0" borderId="12" xfId="292" applyNumberFormat="1" applyFont="1" applyFill="1" applyBorder="1" applyProtection="1"/>
    <xf numFmtId="164" fontId="9" fillId="0" borderId="13" xfId="292" applyNumberFormat="1" applyFont="1" applyFill="1" applyBorder="1" applyProtection="1"/>
    <xf numFmtId="164" fontId="9" fillId="0" borderId="15" xfId="292" applyNumberFormat="1" applyFont="1" applyFill="1" applyBorder="1" applyProtection="1"/>
    <xf numFmtId="0" fontId="9" fillId="0" borderId="15" xfId="0" applyFont="1" applyFill="1" applyBorder="1" applyProtection="1"/>
    <xf numFmtId="164" fontId="9" fillId="3" borderId="12" xfId="292" applyNumberFormat="1" applyFont="1" applyFill="1" applyBorder="1" applyProtection="1"/>
    <xf numFmtId="164" fontId="9" fillId="3" borderId="13" xfId="292" applyNumberFormat="1" applyFont="1" applyFill="1" applyBorder="1" applyProtection="1"/>
    <xf numFmtId="164" fontId="9" fillId="0" borderId="12" xfId="292" applyNumberFormat="1" applyFont="1" applyFill="1" applyBorder="1" applyProtection="1">
      <protection locked="0"/>
    </xf>
    <xf numFmtId="164" fontId="9" fillId="0" borderId="13" xfId="292" applyNumberFormat="1" applyFont="1" applyFill="1" applyBorder="1" applyProtection="1">
      <protection locked="0"/>
    </xf>
    <xf numFmtId="8" fontId="9" fillId="3" borderId="12" xfId="292" applyNumberFormat="1" applyFont="1" applyFill="1" applyBorder="1" applyProtection="1">
      <protection locked="0"/>
    </xf>
    <xf numFmtId="165" fontId="9" fillId="0" borderId="8" xfId="407" applyNumberFormat="1" applyFont="1" applyBorder="1" applyProtection="1"/>
    <xf numFmtId="164" fontId="9" fillId="0" borderId="14" xfId="292" applyNumberFormat="1" applyFont="1" applyFill="1" applyBorder="1" applyProtection="1"/>
    <xf numFmtId="0" fontId="9" fillId="0" borderId="14" xfId="0" applyFont="1" applyFill="1" applyBorder="1" applyProtection="1"/>
    <xf numFmtId="164" fontId="9" fillId="0" borderId="16" xfId="292" applyNumberFormat="1" applyFont="1" applyBorder="1" applyProtection="1"/>
    <xf numFmtId="0" fontId="9" fillId="2" borderId="6" xfId="0" applyFont="1" applyFill="1" applyBorder="1" applyProtection="1">
      <protection locked="0"/>
    </xf>
    <xf numFmtId="0" fontId="8" fillId="0" borderId="17" xfId="0" applyFont="1" applyBorder="1" applyAlignment="1" applyProtection="1">
      <alignment horizontal="center"/>
    </xf>
    <xf numFmtId="0" fontId="8" fillId="0" borderId="18" xfId="0" applyFont="1" applyBorder="1" applyAlignment="1" applyProtection="1">
      <alignment horizontal="center"/>
    </xf>
    <xf numFmtId="0" fontId="8" fillId="0" borderId="19" xfId="0" applyFont="1" applyBorder="1" applyAlignment="1" applyProtection="1">
      <alignment horizontal="center"/>
    </xf>
    <xf numFmtId="0" fontId="9" fillId="0" borderId="19" xfId="0" applyFont="1" applyBorder="1" applyProtection="1"/>
    <xf numFmtId="164" fontId="9" fillId="3" borderId="18" xfId="292" applyNumberFormat="1" applyFont="1" applyFill="1" applyBorder="1" applyProtection="1"/>
    <xf numFmtId="164" fontId="9" fillId="0" borderId="19" xfId="292" applyNumberFormat="1" applyFont="1" applyBorder="1" applyProtection="1"/>
    <xf numFmtId="164" fontId="9" fillId="0" borderId="18" xfId="292" applyNumberFormat="1" applyFont="1" applyBorder="1" applyProtection="1"/>
    <xf numFmtId="164" fontId="9" fillId="0" borderId="18" xfId="292" applyNumberFormat="1" applyFont="1" applyFill="1" applyBorder="1" applyProtection="1"/>
    <xf numFmtId="164" fontId="9" fillId="0" borderId="20" xfId="292" applyNumberFormat="1" applyFont="1" applyBorder="1" applyProtection="1"/>
    <xf numFmtId="164" fontId="9" fillId="3" borderId="17" xfId="292" applyNumberFormat="1" applyFont="1" applyFill="1" applyBorder="1" applyProtection="1"/>
    <xf numFmtId="164" fontId="9" fillId="0" borderId="21" xfId="292" applyNumberFormat="1" applyFont="1" applyFill="1" applyBorder="1" applyProtection="1"/>
    <xf numFmtId="164" fontId="9" fillId="0" borderId="22" xfId="292" applyNumberFormat="1" applyFont="1" applyFill="1" applyBorder="1" applyProtection="1"/>
    <xf numFmtId="164" fontId="9" fillId="0" borderId="16" xfId="292" applyNumberFormat="1" applyFont="1" applyFill="1" applyBorder="1" applyProtection="1"/>
    <xf numFmtId="164" fontId="9" fillId="0" borderId="10" xfId="292" applyNumberFormat="1" applyFont="1" applyFill="1" applyBorder="1" applyProtection="1"/>
    <xf numFmtId="164" fontId="9" fillId="0" borderId="11" xfId="292" applyNumberFormat="1" applyFont="1" applyFill="1" applyBorder="1" applyProtection="1"/>
    <xf numFmtId="164" fontId="9" fillId="0" borderId="9" xfId="292" applyNumberFormat="1" applyFont="1" applyFill="1" applyBorder="1" applyProtection="1"/>
    <xf numFmtId="164" fontId="9" fillId="0" borderId="17" xfId="292" applyNumberFormat="1" applyFont="1" applyBorder="1" applyProtection="1"/>
    <xf numFmtId="164" fontId="9" fillId="0" borderId="21" xfId="292" applyNumberFormat="1" applyFont="1" applyFill="1" applyBorder="1" applyProtection="1">
      <protection locked="0"/>
    </xf>
    <xf numFmtId="164" fontId="9" fillId="0" borderId="22" xfId="292" applyNumberFormat="1" applyFont="1" applyFill="1" applyBorder="1" applyProtection="1">
      <protection locked="0"/>
    </xf>
    <xf numFmtId="164" fontId="9" fillId="0" borderId="16" xfId="292" applyNumberFormat="1" applyFont="1" applyFill="1" applyBorder="1" applyProtection="1">
      <protection locked="0"/>
    </xf>
    <xf numFmtId="164" fontId="9" fillId="0" borderId="23" xfId="292" applyNumberFormat="1" applyFont="1" applyFill="1" applyBorder="1" applyProtection="1">
      <protection locked="0"/>
    </xf>
    <xf numFmtId="164" fontId="9" fillId="0" borderId="8" xfId="292" applyNumberFormat="1" applyFont="1" applyFill="1" applyBorder="1" applyProtection="1">
      <protection locked="0"/>
    </xf>
    <xf numFmtId="164" fontId="9" fillId="0" borderId="24" xfId="292" applyNumberFormat="1" applyFont="1" applyFill="1" applyBorder="1" applyProtection="1">
      <protection locked="0"/>
    </xf>
    <xf numFmtId="164" fontId="9" fillId="0" borderId="24" xfId="292" applyNumberFormat="1" applyFont="1" applyBorder="1" applyProtection="1"/>
    <xf numFmtId="164" fontId="9" fillId="0" borderId="25" xfId="292" applyNumberFormat="1" applyFont="1" applyBorder="1" applyProtection="1"/>
    <xf numFmtId="164" fontId="9" fillId="0" borderId="7" xfId="292" applyNumberFormat="1" applyFont="1" applyFill="1" applyBorder="1" applyProtection="1"/>
    <xf numFmtId="164" fontId="9" fillId="0" borderId="23" xfId="292" applyNumberFormat="1" applyFont="1" applyFill="1" applyBorder="1" applyProtection="1"/>
    <xf numFmtId="164" fontId="9" fillId="0" borderId="26" xfId="292" applyNumberFormat="1" applyFont="1" applyFill="1" applyBorder="1" applyProtection="1"/>
    <xf numFmtId="164" fontId="9" fillId="0" borderId="27" xfId="292" applyNumberFormat="1" applyFont="1" applyFill="1" applyBorder="1" applyProtection="1"/>
    <xf numFmtId="164" fontId="9" fillId="0" borderId="28" xfId="292" applyNumberFormat="1" applyFont="1" applyFill="1" applyBorder="1" applyAlignment="1" applyProtection="1">
      <alignment horizontal="center"/>
    </xf>
    <xf numFmtId="164" fontId="9" fillId="0" borderId="29" xfId="292" applyNumberFormat="1" applyFont="1" applyBorder="1" applyProtection="1"/>
    <xf numFmtId="164" fontId="9" fillId="0" borderId="30" xfId="292" applyNumberFormat="1" applyFont="1" applyFill="1" applyBorder="1" applyAlignment="1" applyProtection="1">
      <alignment horizontal="center"/>
    </xf>
    <xf numFmtId="164" fontId="9" fillId="0" borderId="4" xfId="292" applyNumberFormat="1" applyFont="1" applyFill="1" applyBorder="1" applyAlignment="1" applyProtection="1">
      <alignment horizontal="center"/>
    </xf>
    <xf numFmtId="164" fontId="9" fillId="3" borderId="30" xfId="292" applyNumberFormat="1" applyFont="1" applyFill="1" applyBorder="1" applyAlignment="1" applyProtection="1">
      <alignment horizontal="center"/>
    </xf>
    <xf numFmtId="164" fontId="9" fillId="0" borderId="17" xfId="292" applyNumberFormat="1" applyFont="1" applyFill="1" applyBorder="1" applyProtection="1"/>
    <xf numFmtId="0" fontId="17" fillId="5" borderId="7" xfId="0" applyFont="1" applyFill="1" applyBorder="1" applyAlignment="1" applyProtection="1">
      <alignment horizontal="left"/>
    </xf>
    <xf numFmtId="164" fontId="21" fillId="0" borderId="14" xfId="292" applyNumberFormat="1" applyFont="1" applyBorder="1" applyAlignment="1" applyProtection="1">
      <alignment horizontal="right"/>
    </xf>
    <xf numFmtId="164" fontId="9" fillId="6" borderId="31" xfId="292" applyNumberFormat="1" applyFont="1" applyFill="1" applyBorder="1" applyAlignment="1" applyProtection="1">
      <alignment horizontal="center"/>
    </xf>
    <xf numFmtId="164" fontId="9" fillId="6" borderId="32" xfId="292" applyNumberFormat="1" applyFont="1" applyFill="1" applyBorder="1" applyAlignment="1" applyProtection="1">
      <alignment horizontal="center"/>
    </xf>
    <xf numFmtId="164" fontId="9" fillId="6" borderId="11" xfId="292" applyNumberFormat="1" applyFont="1" applyFill="1" applyBorder="1" applyProtection="1"/>
    <xf numFmtId="0" fontId="22" fillId="2" borderId="2" xfId="0" applyFont="1" applyFill="1" applyBorder="1" applyAlignment="1" applyProtection="1">
      <alignment wrapText="1"/>
      <protection locked="0"/>
    </xf>
    <xf numFmtId="164" fontId="9" fillId="6" borderId="13" xfId="292" applyNumberFormat="1" applyFont="1" applyFill="1" applyBorder="1" applyProtection="1"/>
    <xf numFmtId="164" fontId="9" fillId="3" borderId="2" xfId="292" applyNumberFormat="1" applyFont="1" applyFill="1" applyBorder="1" applyProtection="1">
      <protection locked="0"/>
    </xf>
    <xf numFmtId="164" fontId="9" fillId="3" borderId="13" xfId="292" applyNumberFormat="1" applyFont="1" applyFill="1" applyBorder="1" applyProtection="1">
      <protection locked="0"/>
    </xf>
    <xf numFmtId="164" fontId="9" fillId="3" borderId="12" xfId="292" applyNumberFormat="1" applyFont="1" applyFill="1" applyBorder="1" applyProtection="1">
      <protection locked="0"/>
    </xf>
    <xf numFmtId="0" fontId="23" fillId="2" borderId="2" xfId="0" applyFont="1" applyFill="1" applyBorder="1" applyAlignment="1" applyProtection="1">
      <alignment wrapText="1"/>
      <protection locked="0"/>
    </xf>
    <xf numFmtId="44" fontId="6" fillId="0" borderId="0" xfId="325" applyFont="1" applyFill="1" applyBorder="1"/>
    <xf numFmtId="44" fontId="8" fillId="0" borderId="0" xfId="0" applyNumberFormat="1" applyFont="1" applyBorder="1" applyAlignment="1">
      <alignment horizontal="center"/>
    </xf>
    <xf numFmtId="43" fontId="8" fillId="4" borderId="0" xfId="292" applyFont="1" applyFill="1" applyBorder="1"/>
    <xf numFmtId="43" fontId="8" fillId="0" borderId="0" xfId="292" applyFont="1" applyFill="1" applyBorder="1"/>
    <xf numFmtId="44" fontId="8" fillId="4" borderId="0" xfId="0" applyNumberFormat="1" applyFont="1" applyFill="1" applyBorder="1"/>
    <xf numFmtId="43" fontId="9" fillId="0" borderId="2" xfId="292" applyNumberFormat="1" applyFont="1" applyFill="1" applyBorder="1" applyProtection="1">
      <protection locked="0"/>
    </xf>
    <xf numFmtId="164" fontId="9" fillId="0" borderId="33" xfId="292" applyNumberFormat="1" applyFont="1" applyFill="1" applyBorder="1" applyProtection="1">
      <protection locked="0"/>
    </xf>
    <xf numFmtId="164" fontId="9" fillId="0" borderId="34" xfId="292" applyNumberFormat="1" applyFont="1" applyFill="1" applyBorder="1" applyProtection="1">
      <protection locked="0"/>
    </xf>
    <xf numFmtId="164" fontId="9" fillId="0" borderId="35" xfId="292" applyNumberFormat="1" applyFont="1" applyFill="1" applyBorder="1" applyProtection="1">
      <protection locked="0"/>
    </xf>
    <xf numFmtId="164" fontId="9" fillId="0" borderId="36" xfId="292" applyNumberFormat="1" applyFont="1" applyFill="1" applyBorder="1" applyProtection="1"/>
    <xf numFmtId="43" fontId="9" fillId="0" borderId="12" xfId="292" applyNumberFormat="1" applyFont="1" applyFill="1" applyBorder="1" applyProtection="1">
      <protection locked="0"/>
    </xf>
    <xf numFmtId="8" fontId="9" fillId="3" borderId="13" xfId="292" applyNumberFormat="1" applyFont="1" applyFill="1" applyBorder="1" applyProtection="1">
      <protection locked="0"/>
    </xf>
    <xf numFmtId="8" fontId="9" fillId="0" borderId="12" xfId="292" applyNumberFormat="1" applyFont="1" applyFill="1" applyBorder="1" applyProtection="1">
      <protection locked="0"/>
    </xf>
    <xf numFmtId="4" fontId="9" fillId="3" borderId="13" xfId="292" applyNumberFormat="1" applyFont="1" applyFill="1" applyBorder="1" applyProtection="1"/>
    <xf numFmtId="164" fontId="21" fillId="0" borderId="9" xfId="292" applyNumberFormat="1" applyFont="1" applyBorder="1" applyAlignment="1" applyProtection="1">
      <alignment horizontal="right"/>
    </xf>
    <xf numFmtId="2" fontId="9" fillId="0" borderId="37" xfId="292" applyNumberFormat="1" applyFont="1" applyFill="1" applyBorder="1" applyProtection="1"/>
    <xf numFmtId="4" fontId="9" fillId="3" borderId="38" xfId="292" applyNumberFormat="1" applyFont="1" applyFill="1" applyBorder="1" applyAlignment="1" applyProtection="1">
      <alignment horizontal="center"/>
    </xf>
    <xf numFmtId="43" fontId="6" fillId="4" borderId="0" xfId="292" applyFont="1" applyFill="1" applyBorder="1"/>
    <xf numFmtId="44" fontId="6" fillId="4" borderId="0" xfId="325" applyFont="1" applyFill="1" applyBorder="1"/>
    <xf numFmtId="49" fontId="6" fillId="0" borderId="0" xfId="0" applyNumberFormat="1" applyFont="1" applyFill="1"/>
    <xf numFmtId="44" fontId="24" fillId="0" borderId="0" xfId="0" applyNumberFormat="1" applyFont="1" applyBorder="1"/>
    <xf numFmtId="0" fontId="25" fillId="0" borderId="0" xfId="341" applyFont="1"/>
    <xf numFmtId="0" fontId="26" fillId="0" borderId="0" xfId="341" applyFont="1"/>
    <xf numFmtId="0" fontId="27" fillId="0" borderId="0" xfId="341" applyFont="1"/>
    <xf numFmtId="0" fontId="28" fillId="0" borderId="0" xfId="341" applyFont="1"/>
    <xf numFmtId="0" fontId="25" fillId="0" borderId="0" xfId="341" applyFont="1" applyAlignment="1">
      <alignment horizontal="left" indent="2"/>
    </xf>
    <xf numFmtId="0" fontId="9" fillId="0" borderId="0" xfId="341"/>
    <xf numFmtId="0" fontId="29" fillId="0" borderId="0" xfId="341" applyFont="1"/>
    <xf numFmtId="0" fontId="31" fillId="0" borderId="0" xfId="341" applyFont="1"/>
    <xf numFmtId="0" fontId="32" fillId="0" borderId="0" xfId="341" applyFont="1"/>
    <xf numFmtId="0" fontId="33" fillId="0" borderId="0" xfId="341" applyFont="1"/>
    <xf numFmtId="0" fontId="26" fillId="0" borderId="0" xfId="341" applyFont="1" applyAlignment="1">
      <alignment horizontal="left"/>
    </xf>
    <xf numFmtId="0" fontId="13" fillId="0" borderId="0" xfId="332" applyAlignment="1" applyProtection="1"/>
    <xf numFmtId="0" fontId="12" fillId="0" borderId="0" xfId="0" applyFont="1" applyProtection="1"/>
    <xf numFmtId="0" fontId="34" fillId="0" borderId="0" xfId="0" applyFont="1" applyProtection="1"/>
    <xf numFmtId="0" fontId="34" fillId="0" borderId="0" xfId="0" applyFont="1"/>
    <xf numFmtId="0" fontId="34" fillId="0" borderId="0" xfId="0" applyFont="1" applyAlignment="1" applyProtection="1">
      <alignment horizontal="right"/>
    </xf>
    <xf numFmtId="0" fontId="12" fillId="0" borderId="5" xfId="0" applyFont="1" applyBorder="1" applyProtection="1"/>
    <xf numFmtId="0" fontId="34" fillId="0" borderId="0" xfId="0" applyFont="1" applyBorder="1" applyProtection="1"/>
    <xf numFmtId="0" fontId="34" fillId="0" borderId="5" xfId="0" applyFont="1" applyBorder="1" applyAlignment="1" applyProtection="1">
      <alignment horizontal="left"/>
    </xf>
    <xf numFmtId="0" fontId="34" fillId="0" borderId="5" xfId="0" applyFont="1" applyBorder="1" applyProtection="1"/>
    <xf numFmtId="14" fontId="35" fillId="0" borderId="5" xfId="0" applyNumberFormat="1" applyFont="1" applyBorder="1" applyAlignment="1" applyProtection="1">
      <alignment horizontal="center"/>
    </xf>
    <xf numFmtId="0" fontId="12" fillId="0" borderId="3" xfId="0" applyFont="1" applyBorder="1" applyAlignment="1" applyProtection="1">
      <alignment horizontal="left"/>
    </xf>
    <xf numFmtId="0" fontId="12" fillId="0" borderId="3" xfId="0" applyFont="1" applyBorder="1" applyProtection="1"/>
    <xf numFmtId="0" fontId="34" fillId="0" borderId="5" xfId="0" applyFont="1" applyBorder="1" applyAlignment="1" applyProtection="1">
      <alignment horizontal="center"/>
    </xf>
    <xf numFmtId="164" fontId="34" fillId="0" borderId="0" xfId="0" applyNumberFormat="1" applyFont="1" applyProtection="1"/>
    <xf numFmtId="0" fontId="34" fillId="0" borderId="0" xfId="0" applyFont="1" applyBorder="1" applyAlignment="1" applyProtection="1">
      <alignment horizontal="right"/>
    </xf>
    <xf numFmtId="0" fontId="12" fillId="0" borderId="0" xfId="0" applyFont="1" applyBorder="1" applyAlignment="1" applyProtection="1">
      <alignment horizontal="center"/>
    </xf>
    <xf numFmtId="0" fontId="12" fillId="0" borderId="2" xfId="0" applyFont="1" applyBorder="1" applyAlignment="1" applyProtection="1">
      <alignment horizontal="center"/>
    </xf>
    <xf numFmtId="0" fontId="12" fillId="0" borderId="0" xfId="0" applyFont="1" applyBorder="1" applyAlignment="1" applyProtection="1">
      <alignment horizontal="left"/>
    </xf>
    <xf numFmtId="0" fontId="34" fillId="0" borderId="2" xfId="0" applyFont="1" applyBorder="1" applyAlignment="1" applyProtection="1">
      <alignment horizontal="left"/>
    </xf>
    <xf numFmtId="4" fontId="34" fillId="0" borderId="2" xfId="292" applyNumberFormat="1" applyFont="1" applyFill="1" applyBorder="1" applyAlignment="1" applyProtection="1">
      <alignment horizontal="center"/>
    </xf>
    <xf numFmtId="4" fontId="34" fillId="0" borderId="2" xfId="292" applyNumberFormat="1" applyFont="1" applyFill="1" applyBorder="1" applyProtection="1"/>
    <xf numFmtId="0" fontId="34" fillId="2" borderId="2" xfId="0" applyFont="1" applyFill="1" applyBorder="1" applyProtection="1">
      <protection locked="0"/>
    </xf>
    <xf numFmtId="0" fontId="12" fillId="2" borderId="2" xfId="0" applyFont="1" applyFill="1" applyBorder="1" applyAlignment="1" applyProtection="1">
      <alignment wrapText="1"/>
      <protection locked="0"/>
    </xf>
    <xf numFmtId="4" fontId="34" fillId="0" borderId="0" xfId="292" applyNumberFormat="1" applyFont="1" applyFill="1" applyBorder="1" applyProtection="1"/>
    <xf numFmtId="4" fontId="34" fillId="0" borderId="0" xfId="292" applyNumberFormat="1" applyFont="1" applyBorder="1" applyProtection="1"/>
    <xf numFmtId="0" fontId="34" fillId="0" borderId="0" xfId="0" applyFont="1" applyFill="1" applyBorder="1" applyProtection="1"/>
    <xf numFmtId="0" fontId="12" fillId="0" borderId="0" xfId="0" applyFont="1" applyFill="1" applyBorder="1" applyAlignment="1" applyProtection="1">
      <alignment wrapText="1"/>
    </xf>
    <xf numFmtId="0" fontId="34" fillId="0" borderId="0" xfId="0" applyFont="1" applyFill="1" applyBorder="1" applyAlignment="1" applyProtection="1">
      <alignment wrapText="1"/>
    </xf>
    <xf numFmtId="0" fontId="12" fillId="0" borderId="0" xfId="0" applyFont="1" applyBorder="1" applyProtection="1"/>
    <xf numFmtId="4" fontId="34" fillId="0" borderId="0" xfId="0" applyNumberFormat="1" applyFont="1" applyFill="1" applyBorder="1" applyProtection="1"/>
    <xf numFmtId="0" fontId="34" fillId="0" borderId="2" xfId="0" applyFont="1" applyBorder="1" applyProtection="1"/>
    <xf numFmtId="4" fontId="34" fillId="0" borderId="2" xfId="292" applyNumberFormat="1" applyFont="1" applyBorder="1" applyProtection="1"/>
    <xf numFmtId="0" fontId="34" fillId="2" borderId="2" xfId="0" applyFont="1" applyFill="1" applyBorder="1" applyAlignment="1" applyProtection="1">
      <alignment wrapText="1"/>
      <protection locked="0"/>
    </xf>
    <xf numFmtId="0" fontId="34" fillId="0" borderId="2" xfId="0" applyFont="1" applyFill="1" applyBorder="1" applyAlignment="1" applyProtection="1">
      <alignment horizontal="left"/>
    </xf>
    <xf numFmtId="0" fontId="36" fillId="2" borderId="2" xfId="0" applyFont="1" applyFill="1" applyBorder="1" applyAlignment="1" applyProtection="1">
      <alignment wrapText="1"/>
      <protection locked="0"/>
    </xf>
    <xf numFmtId="0" fontId="34" fillId="0" borderId="0" xfId="0" applyFont="1" applyFill="1" applyBorder="1" applyProtection="1">
      <protection locked="0"/>
    </xf>
    <xf numFmtId="0" fontId="34" fillId="0" borderId="0" xfId="0" applyFont="1" applyFill="1" applyBorder="1" applyAlignment="1" applyProtection="1">
      <alignment horizontal="left"/>
    </xf>
    <xf numFmtId="0" fontId="34" fillId="3" borderId="2" xfId="0" applyFont="1" applyFill="1" applyBorder="1" applyAlignment="1" applyProtection="1">
      <alignment horizontal="left"/>
    </xf>
    <xf numFmtId="4" fontId="34" fillId="3" borderId="2" xfId="292" applyNumberFormat="1" applyFont="1" applyFill="1" applyBorder="1" applyProtection="1"/>
    <xf numFmtId="4" fontId="34" fillId="0" borderId="2" xfId="292" applyNumberFormat="1" applyFont="1" applyFill="1" applyBorder="1" applyProtection="1">
      <protection locked="0"/>
    </xf>
    <xf numFmtId="9" fontId="34" fillId="0" borderId="0" xfId="407" applyFont="1" applyFill="1" applyBorder="1" applyAlignment="1" applyProtection="1">
      <alignment horizontal="centerContinuous"/>
      <protection locked="0"/>
    </xf>
    <xf numFmtId="0" fontId="34" fillId="0" borderId="2" xfId="0" quotePrefix="1" applyFont="1" applyBorder="1" applyAlignment="1" applyProtection="1">
      <alignment horizontal="left"/>
    </xf>
    <xf numFmtId="0" fontId="11" fillId="0" borderId="2" xfId="0" applyFont="1" applyBorder="1" applyAlignment="1" applyProtection="1">
      <alignment horizontal="center"/>
    </xf>
    <xf numFmtId="165" fontId="34" fillId="0" borderId="2" xfId="407" applyNumberFormat="1" applyFont="1" applyBorder="1" applyProtection="1"/>
    <xf numFmtId="0" fontId="34" fillId="0" borderId="0" xfId="0" quotePrefix="1" applyFont="1" applyAlignment="1" applyProtection="1">
      <alignment horizontal="left"/>
    </xf>
    <xf numFmtId="0" fontId="6" fillId="0" borderId="0" xfId="0" applyFont="1" applyFill="1"/>
    <xf numFmtId="44" fontId="6" fillId="0" borderId="0" xfId="325" applyFont="1" applyBorder="1" applyAlignment="1">
      <alignment horizontal="center"/>
    </xf>
    <xf numFmtId="0" fontId="6" fillId="0" borderId="0" xfId="0" applyFont="1"/>
    <xf numFmtId="43" fontId="6" fillId="0" borderId="0" xfId="292" applyFont="1" applyFill="1" applyBorder="1"/>
    <xf numFmtId="49" fontId="6" fillId="0" borderId="0" xfId="0" applyNumberFormat="1" applyFont="1"/>
    <xf numFmtId="0" fontId="6" fillId="4" borderId="0" xfId="0" applyFont="1" applyFill="1"/>
    <xf numFmtId="0" fontId="6" fillId="0" borderId="0" xfId="0" applyFont="1" applyAlignment="1">
      <alignment horizontal="left"/>
    </xf>
    <xf numFmtId="44" fontId="6" fillId="0" borderId="0" xfId="325" applyFont="1" applyBorder="1"/>
    <xf numFmtId="44" fontId="6" fillId="0" borderId="0" xfId="0" applyNumberFormat="1" applyFont="1"/>
    <xf numFmtId="0" fontId="37" fillId="0" borderId="0" xfId="0" applyFont="1"/>
    <xf numFmtId="0" fontId="6" fillId="0" borderId="0" xfId="0" applyFont="1" applyBorder="1"/>
    <xf numFmtId="0" fontId="6" fillId="0" borderId="0" xfId="0" applyFont="1" applyAlignment="1">
      <alignment horizontal="center"/>
    </xf>
    <xf numFmtId="0" fontId="6" fillId="4" borderId="0" xfId="0" applyFont="1" applyFill="1" applyAlignment="1">
      <alignment horizontal="center"/>
    </xf>
    <xf numFmtId="0" fontId="39" fillId="0" borderId="0" xfId="0" applyFont="1"/>
    <xf numFmtId="0" fontId="39" fillId="0" borderId="2" xfId="0" applyFont="1" applyBorder="1"/>
    <xf numFmtId="44" fontId="39" fillId="4" borderId="2" xfId="0" applyNumberFormat="1" applyFont="1" applyFill="1" applyBorder="1"/>
    <xf numFmtId="168" fontId="39" fillId="4" borderId="2" xfId="0" applyNumberFormat="1" applyFont="1" applyFill="1" applyBorder="1"/>
    <xf numFmtId="44" fontId="39" fillId="7" borderId="2" xfId="0" applyNumberFormat="1" applyFont="1" applyFill="1" applyBorder="1"/>
    <xf numFmtId="44" fontId="39" fillId="0" borderId="2" xfId="0" applyNumberFormat="1" applyFont="1" applyFill="1" applyBorder="1" applyAlignment="1">
      <alignment horizontal="center" wrapText="1"/>
    </xf>
    <xf numFmtId="49" fontId="40" fillId="0" borderId="0" xfId="0" applyNumberFormat="1" applyFont="1" applyAlignment="1">
      <alignment wrapText="1"/>
    </xf>
    <xf numFmtId="0" fontId="41" fillId="0" borderId="0" xfId="0" applyFont="1" applyBorder="1" applyAlignment="1" applyProtection="1">
      <alignment horizontal="center"/>
    </xf>
    <xf numFmtId="0" fontId="38" fillId="0" borderId="2" xfId="0" applyFont="1" applyBorder="1" applyAlignment="1">
      <alignment horizontal="left" vertical="top"/>
    </xf>
    <xf numFmtId="0" fontId="38" fillId="0" borderId="2" xfId="0" applyFont="1" applyBorder="1" applyAlignment="1">
      <alignment vertical="top"/>
    </xf>
    <xf numFmtId="43" fontId="39" fillId="0" borderId="2" xfId="0" applyNumberFormat="1" applyFont="1" applyFill="1" applyBorder="1" applyAlignment="1">
      <alignment horizontal="center" wrapText="1"/>
    </xf>
    <xf numFmtId="44" fontId="39" fillId="0" borderId="2" xfId="0" applyNumberFormat="1" applyFont="1" applyFill="1" applyBorder="1"/>
    <xf numFmtId="0" fontId="8" fillId="8" borderId="0" xfId="0" applyFont="1" applyFill="1" applyAlignment="1">
      <alignment horizontal="center" wrapText="1"/>
    </xf>
    <xf numFmtId="0" fontId="42" fillId="0" borderId="0" xfId="0" applyFont="1" applyAlignment="1">
      <alignment vertical="top"/>
    </xf>
    <xf numFmtId="49" fontId="6" fillId="0" borderId="0" xfId="292" applyNumberFormat="1" applyFont="1"/>
    <xf numFmtId="0" fontId="6" fillId="0" borderId="39" xfId="0" applyFont="1" applyBorder="1"/>
    <xf numFmtId="39" fontId="8" fillId="0" borderId="4" xfId="0" applyNumberFormat="1" applyFont="1" applyFill="1" applyBorder="1"/>
    <xf numFmtId="0" fontId="40" fillId="8" borderId="4" xfId="0" applyFont="1" applyFill="1" applyBorder="1"/>
    <xf numFmtId="0" fontId="41" fillId="0" borderId="6" xfId="0" applyFont="1" applyBorder="1" applyAlignment="1" applyProtection="1">
      <alignment horizontal="center"/>
    </xf>
    <xf numFmtId="0" fontId="39" fillId="0" borderId="0" xfId="0" applyFont="1" applyFill="1"/>
    <xf numFmtId="49" fontId="39" fillId="0" borderId="0" xfId="0" applyNumberFormat="1" applyFont="1"/>
    <xf numFmtId="49" fontId="39" fillId="0" borderId="0" xfId="292" applyNumberFormat="1" applyFont="1" applyFill="1"/>
    <xf numFmtId="44" fontId="39" fillId="4" borderId="0" xfId="0" applyNumberFormat="1" applyFont="1" applyFill="1" applyBorder="1" applyAlignment="1">
      <alignment horizontal="center" wrapText="1"/>
    </xf>
    <xf numFmtId="44" fontId="39" fillId="4" borderId="0" xfId="0" applyNumberFormat="1" applyFont="1" applyFill="1"/>
    <xf numFmtId="168" fontId="39" fillId="4" borderId="0" xfId="0" applyNumberFormat="1" applyFont="1" applyFill="1"/>
    <xf numFmtId="44" fontId="39" fillId="0" borderId="0" xfId="0" applyNumberFormat="1" applyFont="1" applyFill="1" applyBorder="1" applyAlignment="1">
      <alignment horizontal="center" wrapText="1"/>
    </xf>
    <xf numFmtId="43" fontId="39" fillId="0" borderId="0" xfId="0" applyNumberFormat="1" applyFont="1" applyFill="1" applyBorder="1" applyAlignment="1">
      <alignment horizontal="center" wrapText="1"/>
    </xf>
    <xf numFmtId="44" fontId="40" fillId="4" borderId="40" xfId="0" applyNumberFormat="1" applyFont="1" applyFill="1" applyBorder="1"/>
    <xf numFmtId="44" fontId="40" fillId="0" borderId="40" xfId="0" applyNumberFormat="1" applyFont="1" applyFill="1" applyBorder="1"/>
    <xf numFmtId="0" fontId="40" fillId="0" borderId="0" xfId="0" applyFont="1" applyFill="1" applyBorder="1"/>
    <xf numFmtId="168" fontId="40" fillId="0" borderId="0" xfId="0" applyNumberFormat="1" applyFont="1" applyFill="1" applyBorder="1"/>
    <xf numFmtId="44" fontId="40" fillId="0" borderId="0" xfId="0" applyNumberFormat="1" applyFont="1" applyFill="1" applyBorder="1"/>
    <xf numFmtId="39" fontId="38" fillId="0" borderId="2" xfId="0" applyNumberFormat="1" applyFont="1" applyBorder="1" applyAlignment="1">
      <alignment horizontal="right" vertical="top"/>
    </xf>
    <xf numFmtId="0" fontId="38" fillId="0" borderId="0" xfId="0" applyFont="1" applyAlignment="1">
      <alignment vertical="top"/>
    </xf>
    <xf numFmtId="0" fontId="40" fillId="0" borderId="0" xfId="0" applyFont="1" applyFill="1"/>
    <xf numFmtId="44" fontId="39" fillId="0" borderId="0" xfId="0" applyNumberFormat="1" applyFont="1"/>
    <xf numFmtId="0" fontId="40" fillId="0" borderId="0" xfId="0" applyFont="1" applyAlignment="1">
      <alignment wrapText="1"/>
    </xf>
    <xf numFmtId="0" fontId="39" fillId="4" borderId="0" xfId="0" applyFont="1" applyFill="1"/>
    <xf numFmtId="44" fontId="40" fillId="0" borderId="0" xfId="0" applyNumberFormat="1" applyFont="1" applyBorder="1"/>
    <xf numFmtId="44" fontId="41" fillId="0" borderId="0" xfId="0" applyNumberFormat="1" applyFont="1" applyFill="1" applyBorder="1"/>
    <xf numFmtId="49" fontId="39" fillId="0" borderId="0" xfId="292" applyNumberFormat="1" applyFont="1"/>
    <xf numFmtId="0" fontId="39" fillId="0" borderId="0" xfId="0" applyFont="1" applyAlignment="1">
      <alignment horizontal="left"/>
    </xf>
    <xf numFmtId="44" fontId="39" fillId="0" borderId="0" xfId="325" applyFont="1" applyBorder="1"/>
    <xf numFmtId="0" fontId="41" fillId="0" borderId="0" xfId="0" applyFont="1"/>
    <xf numFmtId="43" fontId="38" fillId="0" borderId="0" xfId="292" applyFont="1" applyAlignment="1">
      <alignment vertical="top"/>
    </xf>
    <xf numFmtId="43" fontId="38" fillId="0" borderId="0" xfId="292" applyFont="1" applyAlignment="1">
      <alignment horizontal="right" vertical="top"/>
    </xf>
    <xf numFmtId="0" fontId="40" fillId="0" borderId="0" xfId="0" applyFont="1"/>
    <xf numFmtId="0" fontId="40" fillId="0" borderId="0" xfId="0" applyFont="1" applyAlignment="1">
      <alignment horizontal="center" wrapText="1"/>
    </xf>
    <xf numFmtId="43" fontId="40" fillId="0" borderId="0" xfId="292" applyFont="1" applyAlignment="1">
      <alignment horizontal="center" wrapText="1"/>
    </xf>
    <xf numFmtId="0" fontId="40" fillId="9" borderId="0" xfId="0" applyFont="1" applyFill="1" applyAlignment="1">
      <alignment horizontal="center" wrapText="1"/>
    </xf>
    <xf numFmtId="0" fontId="40" fillId="0" borderId="0" xfId="0" applyFont="1" applyFill="1" applyAlignment="1">
      <alignment horizontal="center" wrapText="1"/>
    </xf>
    <xf numFmtId="43" fontId="39" fillId="0" borderId="0" xfId="292" applyFont="1" applyFill="1" applyBorder="1"/>
    <xf numFmtId="43" fontId="39" fillId="9" borderId="0" xfId="292" applyFont="1" applyFill="1" applyBorder="1"/>
    <xf numFmtId="0" fontId="40" fillId="0" borderId="0" xfId="0" applyFont="1" applyBorder="1" applyAlignment="1">
      <alignment wrapText="1"/>
    </xf>
    <xf numFmtId="49" fontId="40" fillId="0" borderId="0" xfId="0" applyNumberFormat="1" applyFont="1" applyFill="1" applyAlignment="1">
      <alignment vertical="center"/>
    </xf>
    <xf numFmtId="43" fontId="39" fillId="0" borderId="0" xfId="292" applyFont="1"/>
    <xf numFmtId="43" fontId="39" fillId="7" borderId="0" xfId="292" applyFont="1" applyFill="1" applyBorder="1"/>
    <xf numFmtId="43" fontId="39" fillId="0" borderId="0" xfId="292" applyFont="1" applyFill="1" applyAlignment="1"/>
    <xf numFmtId="43" fontId="39" fillId="0" borderId="39" xfId="292" applyFont="1" applyBorder="1"/>
    <xf numFmtId="43" fontId="39" fillId="9" borderId="39" xfId="292" applyFont="1" applyFill="1" applyBorder="1"/>
    <xf numFmtId="43" fontId="39" fillId="0" borderId="39" xfId="292" applyFont="1" applyFill="1" applyBorder="1"/>
    <xf numFmtId="0" fontId="40" fillId="0" borderId="0" xfId="0" applyFont="1" applyAlignment="1">
      <alignment horizontal="right"/>
    </xf>
    <xf numFmtId="43" fontId="40" fillId="0" borderId="1" xfId="292" applyFont="1" applyBorder="1"/>
    <xf numFmtId="43" fontId="40" fillId="9" borderId="1" xfId="292" applyFont="1" applyFill="1" applyBorder="1"/>
    <xf numFmtId="43" fontId="40" fillId="0" borderId="1" xfId="292" applyFont="1" applyFill="1" applyBorder="1"/>
    <xf numFmtId="0" fontId="39" fillId="9" borderId="0" xfId="0" applyFont="1" applyFill="1"/>
    <xf numFmtId="0" fontId="40" fillId="6" borderId="0" xfId="0" applyFont="1" applyFill="1"/>
    <xf numFmtId="0" fontId="39" fillId="6" borderId="0" xfId="0" applyFont="1" applyFill="1"/>
    <xf numFmtId="44" fontId="40" fillId="6" borderId="0" xfId="0" applyNumberFormat="1" applyFont="1" applyFill="1" applyAlignment="1">
      <alignment horizontal="center" wrapText="1"/>
    </xf>
    <xf numFmtId="8" fontId="40" fillId="0" borderId="0" xfId="0" applyNumberFormat="1" applyFont="1" applyFill="1" applyAlignment="1">
      <alignment horizontal="center" wrapText="1"/>
    </xf>
    <xf numFmtId="167" fontId="39" fillId="0" borderId="0" xfId="0" applyNumberFormat="1" applyFont="1"/>
    <xf numFmtId="0" fontId="8" fillId="4" borderId="0" xfId="0" applyFont="1" applyFill="1" applyBorder="1" applyAlignment="1">
      <alignment horizontal="center" wrapText="1"/>
    </xf>
    <xf numFmtId="0" fontId="8" fillId="0" borderId="0" xfId="0" applyFont="1" applyBorder="1" applyAlignment="1">
      <alignment horizontal="center" wrapText="1"/>
    </xf>
    <xf numFmtId="0" fontId="6" fillId="0" borderId="0" xfId="0" applyFont="1" applyAlignment="1">
      <alignment horizontal="center" wrapText="1"/>
    </xf>
    <xf numFmtId="0" fontId="6" fillId="4" borderId="0" xfId="0" applyFont="1" applyFill="1" applyAlignment="1">
      <alignment horizontal="center" wrapText="1"/>
    </xf>
    <xf numFmtId="0" fontId="6" fillId="4" borderId="0" xfId="0" applyFont="1" applyFill="1" applyBorder="1" applyAlignment="1">
      <alignment horizontal="center" wrapText="1"/>
    </xf>
    <xf numFmtId="0" fontId="6" fillId="0" borderId="0" xfId="0" applyFont="1" applyFill="1" applyAlignment="1">
      <alignment horizontal="center" wrapText="1"/>
    </xf>
    <xf numFmtId="43" fontId="6" fillId="4" borderId="0" xfId="292" applyFont="1" applyFill="1" applyAlignment="1">
      <alignment horizontal="center" wrapText="1"/>
    </xf>
    <xf numFmtId="43" fontId="6" fillId="0" borderId="0" xfId="292" applyFont="1" applyFill="1" applyAlignment="1">
      <alignment horizontal="center" wrapText="1"/>
    </xf>
    <xf numFmtId="0" fontId="39" fillId="0" borderId="2" xfId="0" applyFont="1" applyBorder="1" applyAlignment="1"/>
    <xf numFmtId="43" fontId="6" fillId="0" borderId="0" xfId="292" applyFont="1"/>
    <xf numFmtId="14" fontId="6" fillId="0" borderId="0" xfId="0" applyNumberFormat="1" applyFont="1"/>
    <xf numFmtId="4" fontId="39" fillId="0" borderId="2" xfId="0" applyNumberFormat="1" applyFont="1" applyBorder="1"/>
    <xf numFmtId="43" fontId="6" fillId="0" borderId="0" xfId="0" applyNumberFormat="1" applyFont="1"/>
    <xf numFmtId="0" fontId="6" fillId="0" borderId="0" xfId="0" applyFont="1" applyAlignment="1">
      <alignment horizontal="right"/>
    </xf>
    <xf numFmtId="44" fontId="6" fillId="0" borderId="1" xfId="0" applyNumberFormat="1" applyFont="1" applyBorder="1"/>
    <xf numFmtId="0" fontId="6" fillId="0" borderId="41" xfId="0" applyFont="1" applyBorder="1" applyAlignment="1">
      <alignment wrapText="1"/>
    </xf>
    <xf numFmtId="0" fontId="6" fillId="0" borderId="42" xfId="0" applyFont="1" applyBorder="1" applyAlignment="1">
      <alignment wrapText="1"/>
    </xf>
    <xf numFmtId="0" fontId="43" fillId="0" borderId="0" xfId="0" applyFont="1"/>
    <xf numFmtId="0" fontId="44" fillId="0" borderId="0" xfId="0" applyFont="1"/>
    <xf numFmtId="43" fontId="44" fillId="0" borderId="0" xfId="292" applyFont="1"/>
    <xf numFmtId="14" fontId="44" fillId="7" borderId="0" xfId="0" applyNumberFormat="1" applyFont="1" applyFill="1"/>
    <xf numFmtId="14" fontId="44" fillId="0" borderId="0" xfId="0" applyNumberFormat="1" applyFont="1"/>
    <xf numFmtId="0" fontId="6" fillId="2" borderId="30" xfId="0" applyFont="1" applyFill="1" applyBorder="1" applyAlignment="1">
      <alignment horizontal="center"/>
    </xf>
    <xf numFmtId="0" fontId="6" fillId="4" borderId="4" xfId="0" applyFont="1" applyFill="1" applyBorder="1" applyAlignment="1">
      <alignment horizontal="center"/>
    </xf>
    <xf numFmtId="0" fontId="6" fillId="10" borderId="37" xfId="0" applyFont="1" applyFill="1" applyBorder="1" applyAlignment="1">
      <alignment horizontal="center"/>
    </xf>
    <xf numFmtId="44" fontId="6" fillId="2" borderId="43" xfId="0" applyNumberFormat="1" applyFont="1" applyFill="1" applyBorder="1"/>
    <xf numFmtId="44" fontId="6" fillId="4" borderId="43" xfId="0" applyNumberFormat="1" applyFont="1" applyFill="1" applyBorder="1"/>
    <xf numFmtId="44" fontId="6" fillId="10" borderId="44" xfId="0" applyNumberFormat="1" applyFont="1" applyFill="1" applyBorder="1"/>
    <xf numFmtId="43" fontId="39" fillId="0" borderId="7" xfId="0" applyNumberFormat="1" applyFont="1" applyFill="1" applyBorder="1" applyAlignment="1">
      <alignment horizontal="center" wrapText="1"/>
    </xf>
    <xf numFmtId="43" fontId="6" fillId="7" borderId="0" xfId="292" applyFont="1" applyFill="1"/>
    <xf numFmtId="43" fontId="6" fillId="7" borderId="0" xfId="0" applyNumberFormat="1" applyFont="1" applyFill="1"/>
    <xf numFmtId="44" fontId="6" fillId="7" borderId="0" xfId="325" applyFont="1" applyFill="1" applyBorder="1"/>
    <xf numFmtId="0" fontId="6" fillId="7" borderId="0" xfId="0" applyFont="1" applyFill="1"/>
    <xf numFmtId="0" fontId="6" fillId="8" borderId="45" xfId="0" applyFont="1" applyFill="1" applyBorder="1"/>
    <xf numFmtId="0" fontId="6" fillId="0" borderId="45" xfId="0" applyFont="1" applyFill="1" applyBorder="1" applyAlignment="1">
      <alignment horizontal="center" wrapText="1"/>
    </xf>
    <xf numFmtId="0" fontId="6" fillId="8" borderId="45" xfId="0" applyFont="1" applyFill="1" applyBorder="1" applyAlignment="1">
      <alignment horizontal="center" wrapText="1"/>
    </xf>
    <xf numFmtId="43" fontId="6" fillId="8" borderId="45" xfId="292" applyFont="1" applyFill="1" applyBorder="1" applyAlignment="1"/>
    <xf numFmtId="0" fontId="6" fillId="8" borderId="45" xfId="0" applyFont="1" applyFill="1" applyBorder="1" applyAlignment="1">
      <alignment horizontal="center"/>
    </xf>
    <xf numFmtId="43" fontId="6" fillId="7" borderId="2" xfId="292" applyFont="1" applyFill="1" applyBorder="1"/>
    <xf numFmtId="43" fontId="6" fillId="7" borderId="2" xfId="0" applyNumberFormat="1" applyFont="1" applyFill="1" applyBorder="1"/>
    <xf numFmtId="44" fontId="6" fillId="7" borderId="2" xfId="325" applyFont="1" applyFill="1" applyBorder="1"/>
    <xf numFmtId="166" fontId="6" fillId="7" borderId="2" xfId="325" applyNumberFormat="1" applyFont="1" applyFill="1" applyBorder="1"/>
    <xf numFmtId="0" fontId="6" fillId="0" borderId="2" xfId="0" applyFont="1" applyBorder="1"/>
    <xf numFmtId="43" fontId="6" fillId="0" borderId="2" xfId="292" applyFont="1" applyBorder="1"/>
    <xf numFmtId="44" fontId="6" fillId="0" borderId="2" xfId="325" applyFont="1" applyBorder="1"/>
    <xf numFmtId="14" fontId="6" fillId="0" borderId="2" xfId="0" applyNumberFormat="1" applyFont="1" applyBorder="1"/>
    <xf numFmtId="14" fontId="6" fillId="0" borderId="2" xfId="325" applyNumberFormat="1" applyFont="1" applyBorder="1"/>
    <xf numFmtId="166" fontId="6" fillId="0" borderId="2" xfId="325" applyNumberFormat="1" applyFont="1" applyBorder="1"/>
    <xf numFmtId="0" fontId="6" fillId="7" borderId="2" xfId="0" applyFont="1" applyFill="1" applyBorder="1"/>
    <xf numFmtId="43" fontId="44" fillId="7" borderId="0" xfId="292" applyFont="1" applyFill="1"/>
    <xf numFmtId="14" fontId="6" fillId="7" borderId="2" xfId="0" applyNumberFormat="1" applyFont="1" applyFill="1" applyBorder="1"/>
    <xf numFmtId="0" fontId="40" fillId="11" borderId="2" xfId="0" applyFont="1" applyFill="1" applyBorder="1" applyAlignment="1">
      <alignment horizontal="center" wrapText="1"/>
    </xf>
    <xf numFmtId="0" fontId="44" fillId="0" borderId="2" xfId="372" applyFont="1" applyBorder="1"/>
    <xf numFmtId="43" fontId="44" fillId="0" borderId="2" xfId="324" applyFont="1" applyBorder="1"/>
    <xf numFmtId="43" fontId="44" fillId="0" borderId="2" xfId="293" applyFont="1" applyBorder="1"/>
    <xf numFmtId="0" fontId="44" fillId="0" borderId="2" xfId="371" applyFont="1" applyBorder="1"/>
    <xf numFmtId="43" fontId="44" fillId="0" borderId="2" xfId="321" applyFont="1" applyBorder="1"/>
    <xf numFmtId="43" fontId="38" fillId="0" borderId="0" xfId="323" applyFont="1" applyAlignment="1">
      <alignment horizontal="right" vertical="top"/>
    </xf>
    <xf numFmtId="0" fontId="38" fillId="0" borderId="0" xfId="365" applyFont="1">
      <alignment vertical="top"/>
    </xf>
    <xf numFmtId="43" fontId="38" fillId="0" borderId="0" xfId="294" applyFont="1" applyAlignment="1">
      <alignment horizontal="right" vertical="top"/>
    </xf>
    <xf numFmtId="43" fontId="38" fillId="0" borderId="0" xfId="322" applyFont="1">
      <alignment vertical="top"/>
    </xf>
    <xf numFmtId="43" fontId="38" fillId="0" borderId="0" xfId="294" applyFont="1">
      <alignment vertical="top"/>
    </xf>
    <xf numFmtId="0" fontId="39" fillId="0" borderId="2" xfId="0" applyFont="1" applyFill="1" applyBorder="1"/>
    <xf numFmtId="0" fontId="39" fillId="0" borderId="0" xfId="0" applyFont="1" applyFill="1" applyBorder="1"/>
    <xf numFmtId="0" fontId="39" fillId="0" borderId="0" xfId="0" applyFont="1" applyBorder="1" applyAlignment="1"/>
    <xf numFmtId="0" fontId="39" fillId="0" borderId="0" xfId="0" applyFont="1" applyBorder="1"/>
    <xf numFmtId="0" fontId="38" fillId="0" borderId="0" xfId="0" applyFont="1" applyBorder="1" applyAlignment="1">
      <alignment vertical="top"/>
    </xf>
    <xf numFmtId="0" fontId="38" fillId="0" borderId="0" xfId="0" applyFont="1" applyBorder="1" applyAlignment="1">
      <alignment horizontal="left" vertical="top"/>
    </xf>
    <xf numFmtId="14" fontId="44" fillId="0" borderId="2" xfId="337" applyNumberFormat="1" applyFont="1" applyBorder="1"/>
    <xf numFmtId="14" fontId="6" fillId="0" borderId="0" xfId="325" applyNumberFormat="1" applyFont="1" applyBorder="1" applyAlignment="1">
      <alignment horizontal="right"/>
    </xf>
    <xf numFmtId="43" fontId="6" fillId="0" borderId="0" xfId="292" applyFont="1" applyBorder="1" applyAlignment="1">
      <alignment horizontal="right"/>
    </xf>
    <xf numFmtId="14" fontId="6" fillId="0" borderId="0" xfId="0" applyNumberFormat="1" applyFont="1" applyAlignment="1">
      <alignment horizontal="right" wrapText="1"/>
    </xf>
    <xf numFmtId="4" fontId="6" fillId="0" borderId="0" xfId="0" applyNumberFormat="1" applyFont="1" applyAlignment="1">
      <alignment horizontal="right" wrapText="1"/>
    </xf>
    <xf numFmtId="4" fontId="6" fillId="4" borderId="0" xfId="0" applyNumberFormat="1" applyFont="1" applyFill="1" applyAlignment="1">
      <alignment horizontal="right" wrapText="1"/>
    </xf>
    <xf numFmtId="0" fontId="46" fillId="0" borderId="0" xfId="351" applyFont="1" applyAlignment="1">
      <alignment horizontal="left"/>
    </xf>
    <xf numFmtId="0" fontId="46" fillId="0" borderId="0" xfId="351" applyFont="1"/>
    <xf numFmtId="43" fontId="46" fillId="0" borderId="0" xfId="292" applyFont="1"/>
    <xf numFmtId="14" fontId="46" fillId="0" borderId="0" xfId="351" applyNumberFormat="1" applyFont="1"/>
    <xf numFmtId="43" fontId="46" fillId="0" borderId="0" xfId="312" applyFont="1"/>
    <xf numFmtId="43" fontId="47" fillId="0" borderId="2" xfId="292" applyFont="1" applyBorder="1"/>
    <xf numFmtId="0" fontId="48" fillId="0" borderId="0" xfId="0" applyFont="1"/>
    <xf numFmtId="0" fontId="49" fillId="0" borderId="0" xfId="0" applyFont="1" applyFill="1"/>
    <xf numFmtId="0" fontId="8" fillId="8" borderId="2" xfId="0" applyFont="1" applyFill="1" applyBorder="1"/>
    <xf numFmtId="43" fontId="8" fillId="8" borderId="2" xfId="292" applyFont="1" applyFill="1" applyBorder="1" applyAlignment="1">
      <alignment horizontal="center" wrapText="1"/>
    </xf>
    <xf numFmtId="0" fontId="8" fillId="8" borderId="2" xfId="0" applyFont="1" applyFill="1" applyBorder="1" applyAlignment="1">
      <alignment horizontal="center" wrapText="1"/>
    </xf>
    <xf numFmtId="0" fontId="8" fillId="8" borderId="37" xfId="0" applyFont="1" applyFill="1" applyBorder="1" applyAlignment="1">
      <alignment horizontal="center" wrapText="1"/>
    </xf>
    <xf numFmtId="0" fontId="42" fillId="0" borderId="2" xfId="0" applyFont="1" applyBorder="1" applyAlignment="1">
      <alignment horizontal="right" vertical="top"/>
    </xf>
    <xf numFmtId="0" fontId="42" fillId="0" borderId="2" xfId="0" applyFont="1" applyBorder="1" applyAlignment="1">
      <alignment vertical="top"/>
    </xf>
    <xf numFmtId="39" fontId="42" fillId="0" borderId="2" xfId="0" applyNumberFormat="1" applyFont="1" applyBorder="1" applyAlignment="1">
      <alignment horizontal="right" vertical="top"/>
    </xf>
    <xf numFmtId="169" fontId="42" fillId="0" borderId="2" xfId="0" applyNumberFormat="1" applyFont="1" applyBorder="1" applyAlignment="1">
      <alignment horizontal="right" vertical="top"/>
    </xf>
    <xf numFmtId="43" fontId="6" fillId="12" borderId="2" xfId="292" applyFont="1" applyFill="1" applyBorder="1"/>
    <xf numFmtId="43" fontId="6" fillId="0" borderId="2" xfId="292" applyFont="1" applyBorder="1" applyAlignment="1"/>
    <xf numFmtId="0" fontId="6" fillId="0" borderId="2" xfId="0" applyFont="1" applyBorder="1" applyAlignment="1"/>
    <xf numFmtId="43" fontId="42" fillId="0" borderId="2" xfId="292" applyFont="1" applyBorder="1" applyAlignment="1">
      <alignment horizontal="right" vertical="top"/>
    </xf>
    <xf numFmtId="14" fontId="6" fillId="0" borderId="2" xfId="0" applyNumberFormat="1" applyFont="1" applyBorder="1" applyAlignment="1"/>
    <xf numFmtId="0" fontId="6" fillId="12" borderId="2" xfId="0" applyFont="1" applyFill="1" applyBorder="1"/>
    <xf numFmtId="0" fontId="50" fillId="0" borderId="2" xfId="0" applyFont="1" applyBorder="1" applyAlignment="1">
      <alignment horizontal="center" vertical="top"/>
    </xf>
    <xf numFmtId="43" fontId="8" fillId="0" borderId="1" xfId="0" applyNumberFormat="1" applyFont="1" applyBorder="1"/>
    <xf numFmtId="39" fontId="42" fillId="0" borderId="2" xfId="0" applyNumberFormat="1" applyFont="1" applyBorder="1" applyAlignment="1">
      <alignment vertical="top"/>
    </xf>
    <xf numFmtId="169" fontId="42" fillId="0" borderId="2" xfId="0" applyNumberFormat="1" applyFont="1" applyBorder="1" applyAlignment="1">
      <alignment horizontal="center" vertical="top"/>
    </xf>
    <xf numFmtId="0" fontId="8" fillId="0" borderId="1" xfId="0" applyFont="1" applyBorder="1" applyAlignment="1">
      <alignment horizontal="right"/>
    </xf>
    <xf numFmtId="43" fontId="8" fillId="0" borderId="1" xfId="292" applyFont="1" applyBorder="1"/>
    <xf numFmtId="0" fontId="6" fillId="0" borderId="1" xfId="0" applyFont="1" applyBorder="1"/>
    <xf numFmtId="168" fontId="8" fillId="0" borderId="1" xfId="0" applyNumberFormat="1" applyFont="1" applyBorder="1"/>
    <xf numFmtId="4" fontId="6" fillId="0" borderId="0" xfId="0" applyNumberFormat="1" applyFont="1"/>
    <xf numFmtId="0" fontId="8" fillId="8" borderId="34" xfId="0" applyFont="1" applyFill="1" applyBorder="1" applyAlignment="1">
      <alignment horizontal="center" wrapText="1"/>
    </xf>
    <xf numFmtId="164" fontId="6" fillId="0" borderId="2" xfId="292" applyNumberFormat="1" applyFont="1" applyBorder="1"/>
    <xf numFmtId="0" fontId="8" fillId="8" borderId="0" xfId="0" applyFont="1" applyFill="1" applyBorder="1" applyAlignment="1">
      <alignment horizontal="center" wrapText="1"/>
    </xf>
    <xf numFmtId="44" fontId="6" fillId="0" borderId="2" xfId="325" applyFont="1" applyFill="1" applyBorder="1"/>
    <xf numFmtId="4" fontId="6" fillId="0" borderId="2" xfId="0" applyNumberFormat="1" applyFont="1" applyFill="1" applyBorder="1"/>
    <xf numFmtId="43" fontId="6" fillId="0" borderId="1" xfId="292" applyFont="1" applyBorder="1"/>
    <xf numFmtId="7" fontId="8" fillId="0" borderId="1" xfId="0" applyNumberFormat="1" applyFont="1" applyBorder="1"/>
    <xf numFmtId="14" fontId="6" fillId="0" borderId="6" xfId="0" applyNumberFormat="1" applyFont="1" applyBorder="1"/>
    <xf numFmtId="0" fontId="38" fillId="0" borderId="2" xfId="0" applyFont="1" applyBorder="1" applyAlignment="1"/>
    <xf numFmtId="43" fontId="38" fillId="0" borderId="2" xfId="297" applyFont="1" applyBorder="1" applyAlignment="1"/>
    <xf numFmtId="0" fontId="41" fillId="11" borderId="46" xfId="0" applyFont="1" applyFill="1" applyBorder="1" applyAlignment="1">
      <alignment horizontal="center" wrapText="1"/>
    </xf>
    <xf numFmtId="44" fontId="39" fillId="0" borderId="6" xfId="0" applyNumberFormat="1" applyFont="1" applyFill="1" applyBorder="1"/>
    <xf numFmtId="0" fontId="40" fillId="0" borderId="2" xfId="0" applyFont="1" applyBorder="1"/>
    <xf numFmtId="0" fontId="40" fillId="8" borderId="2" xfId="0" applyFont="1" applyFill="1" applyBorder="1" applyAlignment="1">
      <alignment horizontal="center" wrapText="1"/>
    </xf>
    <xf numFmtId="0" fontId="40" fillId="0" borderId="2" xfId="0" applyFont="1" applyBorder="1" applyAlignment="1">
      <alignment horizontal="center"/>
    </xf>
    <xf numFmtId="0" fontId="41" fillId="11" borderId="2" xfId="0" applyFont="1" applyFill="1" applyBorder="1" applyAlignment="1">
      <alignment horizontal="center" wrapText="1"/>
    </xf>
    <xf numFmtId="49" fontId="8" fillId="0" borderId="0" xfId="0" applyNumberFormat="1" applyFont="1"/>
    <xf numFmtId="43" fontId="8" fillId="0" borderId="0" xfId="292" applyFont="1" applyAlignment="1">
      <alignment horizontal="center" wrapText="1"/>
    </xf>
    <xf numFmtId="39" fontId="8" fillId="0" borderId="0" xfId="292" applyNumberFormat="1" applyFont="1" applyAlignment="1">
      <alignment horizontal="center" wrapText="1"/>
    </xf>
    <xf numFmtId="43" fontId="8" fillId="0" borderId="0" xfId="292" applyFont="1" applyAlignment="1">
      <alignment horizontal="center"/>
    </xf>
    <xf numFmtId="43" fontId="8" fillId="0" borderId="0" xfId="292" applyFont="1" applyFill="1" applyAlignment="1">
      <alignment horizontal="center"/>
    </xf>
    <xf numFmtId="43" fontId="8" fillId="0" borderId="0" xfId="292" applyFont="1" applyFill="1" applyAlignment="1">
      <alignment horizontal="center" wrapText="1"/>
    </xf>
    <xf numFmtId="43" fontId="8" fillId="13" borderId="0" xfId="292" applyFont="1" applyFill="1" applyAlignment="1">
      <alignment horizontal="center" wrapText="1"/>
    </xf>
    <xf numFmtId="170" fontId="8" fillId="0" borderId="0" xfId="292" applyNumberFormat="1" applyFont="1" applyFill="1" applyAlignment="1">
      <alignment horizontal="center" wrapText="1"/>
    </xf>
    <xf numFmtId="43" fontId="8" fillId="13" borderId="0" xfId="292" applyFont="1" applyFill="1" applyAlignment="1">
      <alignment horizontal="center"/>
    </xf>
    <xf numFmtId="0" fontId="42" fillId="0" borderId="0" xfId="336" applyFont="1">
      <alignment vertical="top"/>
    </xf>
    <xf numFmtId="43" fontId="42" fillId="0" borderId="0" xfId="292" applyFont="1" applyAlignment="1">
      <alignment vertical="top"/>
    </xf>
    <xf numFmtId="43" fontId="42" fillId="0" borderId="0" xfId="292" applyFont="1" applyAlignment="1">
      <alignment horizontal="right" vertical="top"/>
    </xf>
    <xf numFmtId="173" fontId="42" fillId="0" borderId="0" xfId="313" applyNumberFormat="1" applyFont="1" applyAlignment="1">
      <alignment horizontal="right" vertical="top"/>
    </xf>
    <xf numFmtId="10" fontId="8" fillId="0" borderId="0" xfId="407" applyNumberFormat="1" applyFont="1" applyFill="1" applyAlignment="1">
      <alignment horizontal="center"/>
    </xf>
    <xf numFmtId="9" fontId="8" fillId="0" borderId="0" xfId="407" applyFont="1" applyFill="1" applyAlignment="1">
      <alignment horizontal="center"/>
    </xf>
    <xf numFmtId="0" fontId="6" fillId="0" borderId="0" xfId="0" applyFont="1" applyAlignment="1"/>
    <xf numFmtId="172" fontId="42" fillId="0" borderId="0" xfId="0" applyNumberFormat="1" applyFont="1" applyAlignment="1">
      <alignment horizontal="right" vertical="top"/>
    </xf>
    <xf numFmtId="37" fontId="42" fillId="0" borderId="0" xfId="0" applyNumberFormat="1" applyFont="1" applyAlignment="1">
      <alignment horizontal="right" vertical="top"/>
    </xf>
    <xf numFmtId="37" fontId="42" fillId="0" borderId="0" xfId="0" applyNumberFormat="1" applyFont="1" applyAlignment="1">
      <alignment vertical="top"/>
    </xf>
    <xf numFmtId="2" fontId="6" fillId="0" borderId="0" xfId="0" applyNumberFormat="1" applyFont="1"/>
    <xf numFmtId="0" fontId="42" fillId="0" borderId="0" xfId="0" applyFont="1" applyAlignment="1">
      <alignment horizontal="center" vertical="top"/>
    </xf>
    <xf numFmtId="171" fontId="6" fillId="0" borderId="0" xfId="0" applyNumberFormat="1" applyFont="1"/>
    <xf numFmtId="0" fontId="42" fillId="11" borderId="0" xfId="0" applyFont="1" applyFill="1" applyAlignment="1">
      <alignment vertical="top"/>
    </xf>
    <xf numFmtId="43" fontId="6" fillId="11" borderId="0" xfId="292" applyFont="1" applyFill="1"/>
    <xf numFmtId="43" fontId="42" fillId="11" borderId="0" xfId="292" applyFont="1" applyFill="1" applyAlignment="1">
      <alignment vertical="top"/>
    </xf>
    <xf numFmtId="43" fontId="6" fillId="11" borderId="0" xfId="292" applyFont="1" applyFill="1" applyAlignment="1">
      <alignment horizontal="center"/>
    </xf>
    <xf numFmtId="43" fontId="42" fillId="11" borderId="0" xfId="292" applyFont="1" applyFill="1" applyAlignment="1">
      <alignment horizontal="right" vertical="top"/>
    </xf>
    <xf numFmtId="171" fontId="6" fillId="11" borderId="0" xfId="0" applyNumberFormat="1" applyFont="1" applyFill="1"/>
    <xf numFmtId="172" fontId="42" fillId="11" borderId="0" xfId="0" applyNumberFormat="1" applyFont="1" applyFill="1" applyAlignment="1">
      <alignment horizontal="right" vertical="top"/>
    </xf>
    <xf numFmtId="37" fontId="42" fillId="11" borderId="0" xfId="0" applyNumberFormat="1" applyFont="1" applyFill="1" applyAlignment="1">
      <alignment horizontal="right" vertical="top"/>
    </xf>
    <xf numFmtId="9" fontId="6" fillId="11" borderId="0" xfId="407" applyFont="1" applyFill="1" applyAlignment="1">
      <alignment horizontal="center"/>
    </xf>
    <xf numFmtId="2" fontId="6" fillId="11" borderId="0" xfId="0" applyNumberFormat="1" applyFont="1" applyFill="1"/>
    <xf numFmtId="0" fontId="42" fillId="11" borderId="0" xfId="0" applyFont="1" applyFill="1" applyAlignment="1">
      <alignment horizontal="center" vertical="top"/>
    </xf>
    <xf numFmtId="0" fontId="6" fillId="11" borderId="0" xfId="0" applyFont="1" applyFill="1"/>
    <xf numFmtId="43" fontId="6" fillId="0" borderId="0" xfId="292" applyFont="1" applyFill="1"/>
    <xf numFmtId="0" fontId="6" fillId="0" borderId="0" xfId="0" applyFont="1" applyAlignment="1">
      <alignment vertical="top"/>
    </xf>
    <xf numFmtId="170" fontId="6" fillId="0" borderId="0" xfId="292" applyNumberFormat="1" applyFont="1" applyFill="1"/>
    <xf numFmtId="39" fontId="8" fillId="0" borderId="1" xfId="292" applyNumberFormat="1" applyFont="1" applyBorder="1"/>
    <xf numFmtId="170" fontId="8" fillId="0" borderId="1" xfId="292" applyNumberFormat="1" applyFont="1" applyFill="1" applyBorder="1"/>
    <xf numFmtId="43" fontId="8" fillId="7" borderId="1" xfId="292" applyFont="1" applyFill="1" applyBorder="1"/>
    <xf numFmtId="39" fontId="6" fillId="0" borderId="0" xfId="292" applyNumberFormat="1" applyFont="1"/>
    <xf numFmtId="49" fontId="14" fillId="0" borderId="30" xfId="0" quotePrefix="1" applyNumberFormat="1" applyFont="1" applyFill="1" applyBorder="1"/>
    <xf numFmtId="49" fontId="52" fillId="0" borderId="38" xfId="0" applyNumberFormat="1" applyFont="1" applyFill="1" applyBorder="1"/>
    <xf numFmtId="43" fontId="52" fillId="0" borderId="38" xfId="292" applyFont="1" applyFill="1" applyBorder="1"/>
    <xf numFmtId="39" fontId="52" fillId="0" borderId="38" xfId="292" applyNumberFormat="1" applyFont="1" applyFill="1" applyBorder="1"/>
    <xf numFmtId="43" fontId="14" fillId="0" borderId="38" xfId="292" applyFont="1" applyFill="1" applyBorder="1" applyAlignment="1" applyProtection="1">
      <alignment wrapText="1"/>
      <protection locked="0"/>
    </xf>
    <xf numFmtId="43" fontId="14" fillId="0" borderId="37" xfId="292" applyFont="1" applyFill="1" applyBorder="1" applyAlignment="1" applyProtection="1">
      <alignment wrapText="1"/>
      <protection locked="0"/>
    </xf>
    <xf numFmtId="49" fontId="6" fillId="4" borderId="0" xfId="0" applyNumberFormat="1" applyFont="1" applyFill="1"/>
    <xf numFmtId="43" fontId="6" fillId="4" borderId="0" xfId="292" applyFont="1" applyFill="1"/>
    <xf numFmtId="0" fontId="44" fillId="0" borderId="2" xfId="355" applyFont="1" applyBorder="1"/>
    <xf numFmtId="43" fontId="44" fillId="0" borderId="2" xfId="292" applyFont="1" applyBorder="1"/>
    <xf numFmtId="0" fontId="44" fillId="0" borderId="2" xfId="356" applyFont="1" applyBorder="1"/>
    <xf numFmtId="14" fontId="44" fillId="0" borderId="2" xfId="361" applyNumberFormat="1" applyFont="1" applyBorder="1"/>
    <xf numFmtId="0" fontId="44" fillId="0" borderId="2" xfId="359" applyFont="1" applyBorder="1"/>
    <xf numFmtId="0" fontId="44" fillId="0" borderId="2" xfId="358" applyFont="1" applyBorder="1"/>
    <xf numFmtId="14" fontId="44" fillId="0" borderId="2" xfId="360" applyNumberFormat="1" applyFont="1" applyBorder="1"/>
    <xf numFmtId="0" fontId="55" fillId="0" borderId="0" xfId="0" applyFont="1" applyAlignment="1">
      <alignment vertical="top" wrapText="1"/>
    </xf>
    <xf numFmtId="0" fontId="56" fillId="0" borderId="0" xfId="0" applyNumberFormat="1" applyFont="1" applyAlignment="1">
      <alignment vertical="top" wrapText="1"/>
    </xf>
    <xf numFmtId="0" fontId="42" fillId="0" borderId="0" xfId="0" applyFont="1" applyAlignment="1"/>
    <xf numFmtId="0" fontId="77" fillId="0" borderId="0" xfId="0" applyFont="1" applyAlignment="1">
      <alignment horizontal="left"/>
    </xf>
    <xf numFmtId="175" fontId="77" fillId="0" borderId="0" xfId="0" applyNumberFormat="1" applyFont="1" applyAlignment="1">
      <alignment horizontal="right"/>
    </xf>
    <xf numFmtId="174" fontId="6" fillId="0" borderId="0" xfId="0" applyNumberFormat="1" applyFont="1" applyAlignment="1">
      <alignment horizontal="right"/>
    </xf>
    <xf numFmtId="175" fontId="6" fillId="0" borderId="0" xfId="0" applyNumberFormat="1" applyFont="1" applyAlignment="1">
      <alignment horizontal="right"/>
    </xf>
    <xf numFmtId="0" fontId="26" fillId="0" borderId="0" xfId="341" applyFont="1" applyAlignment="1">
      <alignment horizontal="left" wrapText="1"/>
    </xf>
    <xf numFmtId="0" fontId="57" fillId="0" borderId="0" xfId="0" applyFont="1" applyAlignment="1">
      <alignment wrapText="1"/>
    </xf>
    <xf numFmtId="0" fontId="57" fillId="0" borderId="0" xfId="0" applyNumberFormat="1" applyFont="1" applyAlignment="1">
      <alignment vertical="top" wrapText="1"/>
    </xf>
  </cellXfs>
  <cellStyles count="411">
    <cellStyle name="20% - Accent1" xfId="1" builtinId="30" customBuiltin="1"/>
    <cellStyle name="20% - Accent1 10" xfId="2"/>
    <cellStyle name="20% - Accent1 11" xfId="3"/>
    <cellStyle name="20% - Accent1 12" xfId="4"/>
    <cellStyle name="20% - Accent1 13" xfId="5"/>
    <cellStyle name="20% - Accent1 14" xfId="6"/>
    <cellStyle name="20% - Accent1 15" xfId="7"/>
    <cellStyle name="20% - Accent1 16" xfId="8"/>
    <cellStyle name="20% - Accent1 17" xfId="9"/>
    <cellStyle name="20% - Accent1 18" xfId="10"/>
    <cellStyle name="20% - Accent1 19" xfId="11"/>
    <cellStyle name="20% - Accent1 2" xfId="12"/>
    <cellStyle name="20% - Accent1 20" xfId="13"/>
    <cellStyle name="20% - Accent1 21" xfId="14"/>
    <cellStyle name="20% - Accent1 22" xfId="15"/>
    <cellStyle name="20% - Accent1 23" xfId="16"/>
    <cellStyle name="20% - Accent1 3" xfId="17"/>
    <cellStyle name="20% - Accent1 4" xfId="18"/>
    <cellStyle name="20% - Accent1 5" xfId="19"/>
    <cellStyle name="20% - Accent1 6" xfId="20"/>
    <cellStyle name="20% - Accent1 7" xfId="21"/>
    <cellStyle name="20% - Accent1 8" xfId="22"/>
    <cellStyle name="20% - Accent1 9" xfId="23"/>
    <cellStyle name="20% - Accent2" xfId="24" builtinId="34" customBuiltin="1"/>
    <cellStyle name="20% - Accent2 10" xfId="25"/>
    <cellStyle name="20% - Accent2 11" xfId="26"/>
    <cellStyle name="20% - Accent2 12" xfId="27"/>
    <cellStyle name="20% - Accent2 13" xfId="28"/>
    <cellStyle name="20% - Accent2 14" xfId="29"/>
    <cellStyle name="20% - Accent2 15" xfId="30"/>
    <cellStyle name="20% - Accent2 16" xfId="31"/>
    <cellStyle name="20% - Accent2 17" xfId="32"/>
    <cellStyle name="20% - Accent2 18" xfId="33"/>
    <cellStyle name="20% - Accent2 19" xfId="34"/>
    <cellStyle name="20% - Accent2 2" xfId="35"/>
    <cellStyle name="20% - Accent2 20" xfId="36"/>
    <cellStyle name="20% - Accent2 21" xfId="37"/>
    <cellStyle name="20% - Accent2 22" xfId="38"/>
    <cellStyle name="20% - Accent2 23" xfId="39"/>
    <cellStyle name="20% - Accent2 3" xfId="40"/>
    <cellStyle name="20% - Accent2 4" xfId="41"/>
    <cellStyle name="20% - Accent2 5" xfId="42"/>
    <cellStyle name="20% - Accent2 6" xfId="43"/>
    <cellStyle name="20% - Accent2 7" xfId="44"/>
    <cellStyle name="20% - Accent2 8" xfId="45"/>
    <cellStyle name="20% - Accent2 9" xfId="46"/>
    <cellStyle name="20% - Accent3" xfId="47" builtinId="38" customBuiltin="1"/>
    <cellStyle name="20% - Accent3 10" xfId="48"/>
    <cellStyle name="20% - Accent3 11" xfId="49"/>
    <cellStyle name="20% - Accent3 12" xfId="50"/>
    <cellStyle name="20% - Accent3 13" xfId="51"/>
    <cellStyle name="20% - Accent3 14" xfId="52"/>
    <cellStyle name="20% - Accent3 15" xfId="53"/>
    <cellStyle name="20% - Accent3 16" xfId="54"/>
    <cellStyle name="20% - Accent3 17" xfId="55"/>
    <cellStyle name="20% - Accent3 18" xfId="56"/>
    <cellStyle name="20% - Accent3 19" xfId="57"/>
    <cellStyle name="20% - Accent3 2" xfId="58"/>
    <cellStyle name="20% - Accent3 20" xfId="59"/>
    <cellStyle name="20% - Accent3 21" xfId="60"/>
    <cellStyle name="20% - Accent3 22" xfId="61"/>
    <cellStyle name="20% - Accent3 23" xfId="62"/>
    <cellStyle name="20% - Accent3 3" xfId="63"/>
    <cellStyle name="20% - Accent3 4" xfId="64"/>
    <cellStyle name="20% - Accent3 5" xfId="65"/>
    <cellStyle name="20% - Accent3 6" xfId="66"/>
    <cellStyle name="20% - Accent3 7" xfId="67"/>
    <cellStyle name="20% - Accent3 8" xfId="68"/>
    <cellStyle name="20% - Accent3 9" xfId="69"/>
    <cellStyle name="20% - Accent4" xfId="70" builtinId="42" customBuiltin="1"/>
    <cellStyle name="20% - Accent4 10" xfId="71"/>
    <cellStyle name="20% - Accent4 11" xfId="72"/>
    <cellStyle name="20% - Accent4 12" xfId="73"/>
    <cellStyle name="20% - Accent4 13" xfId="74"/>
    <cellStyle name="20% - Accent4 14" xfId="75"/>
    <cellStyle name="20% - Accent4 15" xfId="76"/>
    <cellStyle name="20% - Accent4 16" xfId="77"/>
    <cellStyle name="20% - Accent4 17" xfId="78"/>
    <cellStyle name="20% - Accent4 18" xfId="79"/>
    <cellStyle name="20% - Accent4 19" xfId="80"/>
    <cellStyle name="20% - Accent4 2" xfId="81"/>
    <cellStyle name="20% - Accent4 20" xfId="82"/>
    <cellStyle name="20% - Accent4 21" xfId="83"/>
    <cellStyle name="20% - Accent4 22" xfId="84"/>
    <cellStyle name="20% - Accent4 23" xfId="85"/>
    <cellStyle name="20% - Accent4 3" xfId="86"/>
    <cellStyle name="20% - Accent4 4" xfId="87"/>
    <cellStyle name="20% - Accent4 5" xfId="88"/>
    <cellStyle name="20% - Accent4 6" xfId="89"/>
    <cellStyle name="20% - Accent4 7" xfId="90"/>
    <cellStyle name="20% - Accent4 8" xfId="91"/>
    <cellStyle name="20% - Accent4 9" xfId="92"/>
    <cellStyle name="20% - Accent5" xfId="93" builtinId="46" customBuiltin="1"/>
    <cellStyle name="20% - Accent5 10" xfId="94"/>
    <cellStyle name="20% - Accent5 11" xfId="95"/>
    <cellStyle name="20% - Accent5 12" xfId="96"/>
    <cellStyle name="20% - Accent5 13" xfId="97"/>
    <cellStyle name="20% - Accent5 14" xfId="98"/>
    <cellStyle name="20% - Accent5 15" xfId="99"/>
    <cellStyle name="20% - Accent5 16" xfId="100"/>
    <cellStyle name="20% - Accent5 17" xfId="101"/>
    <cellStyle name="20% - Accent5 18" xfId="102"/>
    <cellStyle name="20% - Accent5 19" xfId="103"/>
    <cellStyle name="20% - Accent5 2" xfId="104"/>
    <cellStyle name="20% - Accent5 20" xfId="105"/>
    <cellStyle name="20% - Accent5 21" xfId="106"/>
    <cellStyle name="20% - Accent5 22" xfId="107"/>
    <cellStyle name="20% - Accent5 23" xfId="108"/>
    <cellStyle name="20% - Accent5 3" xfId="109"/>
    <cellStyle name="20% - Accent5 4" xfId="110"/>
    <cellStyle name="20% - Accent5 5" xfId="111"/>
    <cellStyle name="20% - Accent5 6" xfId="112"/>
    <cellStyle name="20% - Accent5 7" xfId="113"/>
    <cellStyle name="20% - Accent5 8" xfId="114"/>
    <cellStyle name="20% - Accent5 9" xfId="115"/>
    <cellStyle name="20% - Accent6" xfId="116" builtinId="50" customBuiltin="1"/>
    <cellStyle name="20% - Accent6 10" xfId="117"/>
    <cellStyle name="20% - Accent6 11" xfId="118"/>
    <cellStyle name="20% - Accent6 12" xfId="119"/>
    <cellStyle name="20% - Accent6 13" xfId="120"/>
    <cellStyle name="20% - Accent6 14" xfId="121"/>
    <cellStyle name="20% - Accent6 15" xfId="122"/>
    <cellStyle name="20% - Accent6 16" xfId="123"/>
    <cellStyle name="20% - Accent6 17" xfId="124"/>
    <cellStyle name="20% - Accent6 18" xfId="125"/>
    <cellStyle name="20% - Accent6 19" xfId="126"/>
    <cellStyle name="20% - Accent6 2" xfId="127"/>
    <cellStyle name="20% - Accent6 20" xfId="128"/>
    <cellStyle name="20% - Accent6 21" xfId="129"/>
    <cellStyle name="20% - Accent6 22" xfId="130"/>
    <cellStyle name="20% - Accent6 23" xfId="131"/>
    <cellStyle name="20% - Accent6 3" xfId="132"/>
    <cellStyle name="20% - Accent6 4" xfId="133"/>
    <cellStyle name="20% - Accent6 5" xfId="134"/>
    <cellStyle name="20% - Accent6 6" xfId="135"/>
    <cellStyle name="20% - Accent6 7" xfId="136"/>
    <cellStyle name="20% - Accent6 8" xfId="137"/>
    <cellStyle name="20% - Accent6 9" xfId="138"/>
    <cellStyle name="40% - Accent1" xfId="139" builtinId="31" customBuiltin="1"/>
    <cellStyle name="40% - Accent1 10" xfId="140"/>
    <cellStyle name="40% - Accent1 11" xfId="141"/>
    <cellStyle name="40% - Accent1 12" xfId="142"/>
    <cellStyle name="40% - Accent1 13" xfId="143"/>
    <cellStyle name="40% - Accent1 14" xfId="144"/>
    <cellStyle name="40% - Accent1 15" xfId="145"/>
    <cellStyle name="40% - Accent1 16" xfId="146"/>
    <cellStyle name="40% - Accent1 17" xfId="147"/>
    <cellStyle name="40% - Accent1 18" xfId="148"/>
    <cellStyle name="40% - Accent1 19" xfId="149"/>
    <cellStyle name="40% - Accent1 2" xfId="150"/>
    <cellStyle name="40% - Accent1 20" xfId="151"/>
    <cellStyle name="40% - Accent1 21" xfId="152"/>
    <cellStyle name="40% - Accent1 22" xfId="153"/>
    <cellStyle name="40% - Accent1 23" xfId="154"/>
    <cellStyle name="40% - Accent1 3" xfId="155"/>
    <cellStyle name="40% - Accent1 4" xfId="156"/>
    <cellStyle name="40% - Accent1 5" xfId="157"/>
    <cellStyle name="40% - Accent1 6" xfId="158"/>
    <cellStyle name="40% - Accent1 7" xfId="159"/>
    <cellStyle name="40% - Accent1 8" xfId="160"/>
    <cellStyle name="40% - Accent1 9" xfId="161"/>
    <cellStyle name="40% - Accent2" xfId="162" builtinId="35" customBuiltin="1"/>
    <cellStyle name="40% - Accent2 10" xfId="163"/>
    <cellStyle name="40% - Accent2 11" xfId="164"/>
    <cellStyle name="40% - Accent2 12" xfId="165"/>
    <cellStyle name="40% - Accent2 13" xfId="166"/>
    <cellStyle name="40% - Accent2 14" xfId="167"/>
    <cellStyle name="40% - Accent2 15" xfId="168"/>
    <cellStyle name="40% - Accent2 16" xfId="169"/>
    <cellStyle name="40% - Accent2 17" xfId="170"/>
    <cellStyle name="40% - Accent2 18" xfId="171"/>
    <cellStyle name="40% - Accent2 19" xfId="172"/>
    <cellStyle name="40% - Accent2 2" xfId="173"/>
    <cellStyle name="40% - Accent2 20" xfId="174"/>
    <cellStyle name="40% - Accent2 21" xfId="175"/>
    <cellStyle name="40% - Accent2 22" xfId="176"/>
    <cellStyle name="40% - Accent2 23" xfId="177"/>
    <cellStyle name="40% - Accent2 3" xfId="178"/>
    <cellStyle name="40% - Accent2 4" xfId="179"/>
    <cellStyle name="40% - Accent2 5" xfId="180"/>
    <cellStyle name="40% - Accent2 6" xfId="181"/>
    <cellStyle name="40% - Accent2 7" xfId="182"/>
    <cellStyle name="40% - Accent2 8" xfId="183"/>
    <cellStyle name="40% - Accent2 9" xfId="184"/>
    <cellStyle name="40% - Accent3" xfId="185" builtinId="39" customBuiltin="1"/>
    <cellStyle name="40% - Accent3 10" xfId="186"/>
    <cellStyle name="40% - Accent3 11" xfId="187"/>
    <cellStyle name="40% - Accent3 12" xfId="188"/>
    <cellStyle name="40% - Accent3 13" xfId="189"/>
    <cellStyle name="40% - Accent3 14" xfId="190"/>
    <cellStyle name="40% - Accent3 15" xfId="191"/>
    <cellStyle name="40% - Accent3 16" xfId="192"/>
    <cellStyle name="40% - Accent3 17" xfId="193"/>
    <cellStyle name="40% - Accent3 18" xfId="194"/>
    <cellStyle name="40% - Accent3 19" xfId="195"/>
    <cellStyle name="40% - Accent3 2" xfId="196"/>
    <cellStyle name="40% - Accent3 20" xfId="197"/>
    <cellStyle name="40% - Accent3 21" xfId="198"/>
    <cellStyle name="40% - Accent3 22" xfId="199"/>
    <cellStyle name="40% - Accent3 23" xfId="200"/>
    <cellStyle name="40% - Accent3 3" xfId="201"/>
    <cellStyle name="40% - Accent3 4" xfId="202"/>
    <cellStyle name="40% - Accent3 5" xfId="203"/>
    <cellStyle name="40% - Accent3 6" xfId="204"/>
    <cellStyle name="40% - Accent3 7" xfId="205"/>
    <cellStyle name="40% - Accent3 8" xfId="206"/>
    <cellStyle name="40% - Accent3 9" xfId="207"/>
    <cellStyle name="40% - Accent4" xfId="208" builtinId="43" customBuiltin="1"/>
    <cellStyle name="40% - Accent4 10" xfId="209"/>
    <cellStyle name="40% - Accent4 11" xfId="210"/>
    <cellStyle name="40% - Accent4 12" xfId="211"/>
    <cellStyle name="40% - Accent4 13" xfId="212"/>
    <cellStyle name="40% - Accent4 14" xfId="213"/>
    <cellStyle name="40% - Accent4 15" xfId="214"/>
    <cellStyle name="40% - Accent4 16" xfId="215"/>
    <cellStyle name="40% - Accent4 17" xfId="216"/>
    <cellStyle name="40% - Accent4 18" xfId="217"/>
    <cellStyle name="40% - Accent4 19" xfId="218"/>
    <cellStyle name="40% - Accent4 2" xfId="219"/>
    <cellStyle name="40% - Accent4 20" xfId="220"/>
    <cellStyle name="40% - Accent4 21" xfId="221"/>
    <cellStyle name="40% - Accent4 22" xfId="222"/>
    <cellStyle name="40% - Accent4 23" xfId="223"/>
    <cellStyle name="40% - Accent4 3" xfId="224"/>
    <cellStyle name="40% - Accent4 4" xfId="225"/>
    <cellStyle name="40% - Accent4 5" xfId="226"/>
    <cellStyle name="40% - Accent4 6" xfId="227"/>
    <cellStyle name="40% - Accent4 7" xfId="228"/>
    <cellStyle name="40% - Accent4 8" xfId="229"/>
    <cellStyle name="40% - Accent4 9" xfId="230"/>
    <cellStyle name="40% - Accent5" xfId="231" builtinId="47" customBuiltin="1"/>
    <cellStyle name="40% - Accent5 10" xfId="232"/>
    <cellStyle name="40% - Accent5 11" xfId="233"/>
    <cellStyle name="40% - Accent5 12" xfId="234"/>
    <cellStyle name="40% - Accent5 13" xfId="235"/>
    <cellStyle name="40% - Accent5 14" xfId="236"/>
    <cellStyle name="40% - Accent5 15" xfId="237"/>
    <cellStyle name="40% - Accent5 16" xfId="238"/>
    <cellStyle name="40% - Accent5 17" xfId="239"/>
    <cellStyle name="40% - Accent5 18" xfId="240"/>
    <cellStyle name="40% - Accent5 19" xfId="241"/>
    <cellStyle name="40% - Accent5 2" xfId="242"/>
    <cellStyle name="40% - Accent5 20" xfId="243"/>
    <cellStyle name="40% - Accent5 21" xfId="244"/>
    <cellStyle name="40% - Accent5 22" xfId="245"/>
    <cellStyle name="40% - Accent5 23" xfId="246"/>
    <cellStyle name="40% - Accent5 3" xfId="247"/>
    <cellStyle name="40% - Accent5 4" xfId="248"/>
    <cellStyle name="40% - Accent5 5" xfId="249"/>
    <cellStyle name="40% - Accent5 6" xfId="250"/>
    <cellStyle name="40% - Accent5 7" xfId="251"/>
    <cellStyle name="40% - Accent5 8" xfId="252"/>
    <cellStyle name="40% - Accent5 9" xfId="253"/>
    <cellStyle name="40% - Accent6" xfId="254" builtinId="51" customBuiltin="1"/>
    <cellStyle name="40% - Accent6 10" xfId="255"/>
    <cellStyle name="40% - Accent6 11" xfId="256"/>
    <cellStyle name="40% - Accent6 12" xfId="257"/>
    <cellStyle name="40% - Accent6 13" xfId="258"/>
    <cellStyle name="40% - Accent6 14" xfId="259"/>
    <cellStyle name="40% - Accent6 15" xfId="260"/>
    <cellStyle name="40% - Accent6 16" xfId="261"/>
    <cellStyle name="40% - Accent6 17" xfId="262"/>
    <cellStyle name="40% - Accent6 18" xfId="263"/>
    <cellStyle name="40% - Accent6 19" xfId="264"/>
    <cellStyle name="40% - Accent6 2" xfId="265"/>
    <cellStyle name="40% - Accent6 20" xfId="266"/>
    <cellStyle name="40% - Accent6 21" xfId="267"/>
    <cellStyle name="40% - Accent6 22" xfId="268"/>
    <cellStyle name="40% - Accent6 23" xfId="269"/>
    <cellStyle name="40% - Accent6 3" xfId="270"/>
    <cellStyle name="40% - Accent6 4" xfId="271"/>
    <cellStyle name="40% - Accent6 5" xfId="272"/>
    <cellStyle name="40% - Accent6 6" xfId="273"/>
    <cellStyle name="40% - Accent6 7" xfId="274"/>
    <cellStyle name="40% - Accent6 8" xfId="275"/>
    <cellStyle name="40% - Accent6 9" xfId="276"/>
    <cellStyle name="60% - Accent1" xfId="277" builtinId="32" customBuiltin="1"/>
    <cellStyle name="60% - Accent2" xfId="278" builtinId="36" customBuiltin="1"/>
    <cellStyle name="60% - Accent3" xfId="279" builtinId="40" customBuiltin="1"/>
    <cellStyle name="60% - Accent4" xfId="280" builtinId="44" customBuiltin="1"/>
    <cellStyle name="60% - Accent5" xfId="281" builtinId="48" customBuiltin="1"/>
    <cellStyle name="60% - Accent6" xfId="282" builtinId="52" customBuiltin="1"/>
    <cellStyle name="Accent1" xfId="283" builtinId="29" customBuiltin="1"/>
    <cellStyle name="Accent2" xfId="284" builtinId="33" customBuiltin="1"/>
    <cellStyle name="Accent3" xfId="285" builtinId="37" customBuiltin="1"/>
    <cellStyle name="Accent4" xfId="286" builtinId="41" customBuiltin="1"/>
    <cellStyle name="Accent5" xfId="287" builtinId="45" customBuiltin="1"/>
    <cellStyle name="Accent6" xfId="288" builtinId="49" customBuiltin="1"/>
    <cellStyle name="Bad" xfId="289" builtinId="27" customBuiltin="1"/>
    <cellStyle name="Calculation" xfId="290" builtinId="22" customBuiltin="1"/>
    <cellStyle name="Check Cell" xfId="291" builtinId="23" customBuiltin="1"/>
    <cellStyle name="Comma" xfId="292" builtinId="3"/>
    <cellStyle name="Comma 10" xfId="293"/>
    <cellStyle name="Comma 11" xfId="294"/>
    <cellStyle name="Comma 12" xfId="295"/>
    <cellStyle name="Comma 13" xfId="296"/>
    <cellStyle name="Comma 16" xfId="297"/>
    <cellStyle name="Comma 17" xfId="298"/>
    <cellStyle name="Comma 18" xfId="299"/>
    <cellStyle name="Comma 19" xfId="300"/>
    <cellStyle name="Comma 2" xfId="301"/>
    <cellStyle name="Comma 20" xfId="302"/>
    <cellStyle name="Comma 21" xfId="303"/>
    <cellStyle name="Comma 22" xfId="304"/>
    <cellStyle name="Comma 23" xfId="305"/>
    <cellStyle name="Comma 24" xfId="306"/>
    <cellStyle name="Comma 25" xfId="307"/>
    <cellStyle name="Comma 26" xfId="308"/>
    <cellStyle name="Comma 27" xfId="309"/>
    <cellStyle name="Comma 28" xfId="310"/>
    <cellStyle name="Comma 29" xfId="311"/>
    <cellStyle name="Comma 3" xfId="312"/>
    <cellStyle name="Comma 31" xfId="313"/>
    <cellStyle name="Comma 36" xfId="314"/>
    <cellStyle name="Comma 37" xfId="315"/>
    <cellStyle name="Comma 39" xfId="316"/>
    <cellStyle name="Comma 4" xfId="317"/>
    <cellStyle name="Comma 41" xfId="318"/>
    <cellStyle name="Comma 42" xfId="319"/>
    <cellStyle name="Comma 5" xfId="320"/>
    <cellStyle name="Comma 6" xfId="321"/>
    <cellStyle name="Comma 7" xfId="322"/>
    <cellStyle name="Comma 8" xfId="323"/>
    <cellStyle name="Comma 9" xfId="324"/>
    <cellStyle name="Currency" xfId="325" builtinId="4"/>
    <cellStyle name="Explanatory Text" xfId="326" builtinId="53" customBuiltin="1"/>
    <cellStyle name="Good" xfId="327" builtinId="26" customBuiltin="1"/>
    <cellStyle name="Heading 1" xfId="328" builtinId="16" customBuiltin="1"/>
    <cellStyle name="Heading 2" xfId="329" builtinId="17" customBuiltin="1"/>
    <cellStyle name="Heading 3" xfId="330" builtinId="18" customBuiltin="1"/>
    <cellStyle name="Heading 4" xfId="331" builtinId="19" customBuiltin="1"/>
    <cellStyle name="Hyperlink" xfId="332" builtinId="8"/>
    <cellStyle name="Input" xfId="333" builtinId="20" customBuiltin="1"/>
    <cellStyle name="Linked Cell" xfId="334" builtinId="24" customBuiltin="1"/>
    <cellStyle name="Neutral" xfId="335" builtinId="28" customBuiltin="1"/>
    <cellStyle name="Normal" xfId="0" builtinId="0"/>
    <cellStyle name="Normal 10" xfId="336"/>
    <cellStyle name="Normal 12" xfId="337"/>
    <cellStyle name="Normal 13" xfId="338"/>
    <cellStyle name="Normal 17" xfId="339"/>
    <cellStyle name="Normal 19" xfId="340"/>
    <cellStyle name="Normal 2" xfId="341"/>
    <cellStyle name="Normal 20" xfId="342"/>
    <cellStyle name="Normal 21" xfId="343"/>
    <cellStyle name="Normal 22" xfId="344"/>
    <cellStyle name="Normal 23" xfId="345"/>
    <cellStyle name="Normal 25" xfId="346"/>
    <cellStyle name="Normal 26" xfId="347"/>
    <cellStyle name="Normal 27" xfId="348"/>
    <cellStyle name="Normal 28" xfId="349"/>
    <cellStyle name="Normal 29" xfId="350"/>
    <cellStyle name="Normal 3" xfId="351"/>
    <cellStyle name="Normal 32" xfId="352"/>
    <cellStyle name="Normal 34" xfId="353"/>
    <cellStyle name="Normal 37" xfId="354"/>
    <cellStyle name="Normal 38" xfId="355"/>
    <cellStyle name="Normal 39" xfId="356"/>
    <cellStyle name="Normal 4" xfId="357"/>
    <cellStyle name="Normal 40" xfId="358"/>
    <cellStyle name="Normal 41" xfId="359"/>
    <cellStyle name="Normal 42" xfId="360"/>
    <cellStyle name="Normal 43" xfId="361"/>
    <cellStyle name="Normal 46" xfId="362"/>
    <cellStyle name="Normal 47" xfId="363"/>
    <cellStyle name="Normal 48" xfId="364"/>
    <cellStyle name="Normal 5" xfId="365"/>
    <cellStyle name="Normal 51" xfId="366"/>
    <cellStyle name="Normal 52" xfId="367"/>
    <cellStyle name="Normal 53" xfId="368"/>
    <cellStyle name="Normal 6" xfId="369"/>
    <cellStyle name="Normal 7" xfId="370"/>
    <cellStyle name="Normal 8" xfId="371"/>
    <cellStyle name="Normal 9" xfId="372"/>
    <cellStyle name="Note 10" xfId="373"/>
    <cellStyle name="Note 11" xfId="374"/>
    <cellStyle name="Note 12" xfId="375"/>
    <cellStyle name="Note 13" xfId="376"/>
    <cellStyle name="Note 14" xfId="377"/>
    <cellStyle name="Note 15" xfId="378"/>
    <cellStyle name="Note 16" xfId="379"/>
    <cellStyle name="Note 17" xfId="380"/>
    <cellStyle name="Note 18" xfId="381"/>
    <cellStyle name="Note 19" xfId="382"/>
    <cellStyle name="Note 2" xfId="383"/>
    <cellStyle name="Note 20" xfId="384"/>
    <cellStyle name="Note 21" xfId="385"/>
    <cellStyle name="Note 22" xfId="386"/>
    <cellStyle name="Note 23" xfId="387"/>
    <cellStyle name="Note 24" xfId="388"/>
    <cellStyle name="Note 25" xfId="389"/>
    <cellStyle name="Note 26" xfId="390"/>
    <cellStyle name="Note 27" xfId="391"/>
    <cellStyle name="Note 28" xfId="392"/>
    <cellStyle name="Note 29" xfId="393"/>
    <cellStyle name="Note 3" xfId="394"/>
    <cellStyle name="Note 30" xfId="395"/>
    <cellStyle name="Note 31" xfId="396"/>
    <cellStyle name="Note 32" xfId="397"/>
    <cellStyle name="Note 33" xfId="398"/>
    <cellStyle name="Note 34" xfId="399"/>
    <cellStyle name="Note 4" xfId="400"/>
    <cellStyle name="Note 5" xfId="401"/>
    <cellStyle name="Note 6" xfId="402"/>
    <cellStyle name="Note 7" xfId="403"/>
    <cellStyle name="Note 8" xfId="404"/>
    <cellStyle name="Note 9" xfId="405"/>
    <cellStyle name="Output" xfId="406" builtinId="21" customBuiltin="1"/>
    <cellStyle name="Percent" xfId="407" builtinId="5"/>
    <cellStyle name="Title" xfId="408" builtinId="15" customBuiltin="1"/>
    <cellStyle name="Total" xfId="409" builtinId="25" customBuiltin="1"/>
    <cellStyle name="Warning Text" xfId="410"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mailto:gwendolyn.genovesi@nystrs.org" TargetMode="External"/><Relationship Id="rId2" Type="http://schemas.openxmlformats.org/officeDocument/2006/relationships/hyperlink" Target="mailto:cashisking@statestreet.com" TargetMode="External"/><Relationship Id="rId1" Type="http://schemas.openxmlformats.org/officeDocument/2006/relationships/hyperlink" Target="mailto:jmompoint@statestreet.com" TargetMode="External"/><Relationship Id="rId5" Type="http://schemas.openxmlformats.org/officeDocument/2006/relationships/printerSettings" Target="../printerSettings/printerSettings3.bin"/><Relationship Id="rId4" Type="http://schemas.openxmlformats.org/officeDocument/2006/relationships/hyperlink" Target="mailto:NYSTRS-RRAP-TEAM@nystrs.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I93"/>
  <sheetViews>
    <sheetView workbookViewId="0">
      <selection activeCell="D34" sqref="D34"/>
    </sheetView>
  </sheetViews>
  <sheetFormatPr defaultRowHeight="13.2"/>
  <cols>
    <col min="1" max="1" width="11.33203125" bestFit="1" customWidth="1"/>
    <col min="2" max="2" width="9.44140625" bestFit="1" customWidth="1"/>
    <col min="4" max="4" width="16.6640625" bestFit="1" customWidth="1"/>
    <col min="8" max="8" width="2.109375" bestFit="1" customWidth="1"/>
    <col min="9" max="9" width="50.88671875" style="3" bestFit="1" customWidth="1"/>
  </cols>
  <sheetData>
    <row r="1" spans="1:9">
      <c r="A1" s="2" t="s">
        <v>19</v>
      </c>
      <c r="D1" t="s">
        <v>3</v>
      </c>
      <c r="G1" t="s">
        <v>4</v>
      </c>
    </row>
    <row r="2" spans="1:9">
      <c r="A2" t="s">
        <v>0</v>
      </c>
      <c r="B2" t="s">
        <v>5</v>
      </c>
      <c r="D2" t="s">
        <v>9</v>
      </c>
      <c r="E2">
        <v>5000002</v>
      </c>
      <c r="G2" t="s">
        <v>14</v>
      </c>
      <c r="H2" t="s">
        <v>15</v>
      </c>
      <c r="I2" s="3" t="s">
        <v>16</v>
      </c>
    </row>
    <row r="3" spans="1:9">
      <c r="A3" t="s">
        <v>1</v>
      </c>
      <c r="B3" t="s">
        <v>2</v>
      </c>
      <c r="D3" t="s">
        <v>10</v>
      </c>
      <c r="E3" s="4">
        <v>39447</v>
      </c>
    </row>
    <row r="4" spans="1:9">
      <c r="D4" t="s">
        <v>11</v>
      </c>
      <c r="E4" s="4">
        <v>39478</v>
      </c>
    </row>
    <row r="5" spans="1:9">
      <c r="A5" t="s">
        <v>6</v>
      </c>
      <c r="B5">
        <f>PARM_Account</f>
        <v>5000002</v>
      </c>
    </row>
    <row r="6" spans="1:9">
      <c r="A6" t="s">
        <v>7</v>
      </c>
      <c r="B6" s="1">
        <f>PARM_To_Date</f>
        <v>39478</v>
      </c>
    </row>
    <row r="7" spans="1:9">
      <c r="A7" t="s">
        <v>8</v>
      </c>
      <c r="B7" t="s">
        <v>12</v>
      </c>
    </row>
    <row r="10" spans="1:9">
      <c r="A10" s="2" t="s">
        <v>20</v>
      </c>
      <c r="G10" t="s">
        <v>4</v>
      </c>
    </row>
    <row r="11" spans="1:9">
      <c r="A11" t="s">
        <v>0</v>
      </c>
      <c r="B11" t="s">
        <v>13</v>
      </c>
      <c r="G11" t="s">
        <v>14</v>
      </c>
      <c r="H11" t="s">
        <v>17</v>
      </c>
      <c r="I11" s="3" t="s">
        <v>18</v>
      </c>
    </row>
    <row r="12" spans="1:9">
      <c r="A12" t="s">
        <v>1</v>
      </c>
      <c r="B12" t="s">
        <v>2</v>
      </c>
    </row>
    <row r="14" spans="1:9">
      <c r="A14" t="s">
        <v>6</v>
      </c>
      <c r="B14">
        <f>PARM_Account</f>
        <v>5000002</v>
      </c>
    </row>
    <row r="15" spans="1:9">
      <c r="A15" t="s">
        <v>7</v>
      </c>
      <c r="B15" s="1">
        <f>PARM_To_Date</f>
        <v>39478</v>
      </c>
    </row>
    <row r="16" spans="1:9">
      <c r="A16" t="s">
        <v>8</v>
      </c>
      <c r="B16" t="s">
        <v>12</v>
      </c>
    </row>
    <row r="19" spans="1:9">
      <c r="A19" s="2" t="s">
        <v>26</v>
      </c>
      <c r="G19" t="s">
        <v>4</v>
      </c>
    </row>
    <row r="20" spans="1:9">
      <c r="A20" t="s">
        <v>0</v>
      </c>
      <c r="B20" t="s">
        <v>21</v>
      </c>
      <c r="G20" t="s">
        <v>14</v>
      </c>
      <c r="H20" t="s">
        <v>15</v>
      </c>
      <c r="I20" s="3" t="s">
        <v>22</v>
      </c>
    </row>
    <row r="21" spans="1:9">
      <c r="A21" t="s">
        <v>1</v>
      </c>
      <c r="B21" t="s">
        <v>2</v>
      </c>
      <c r="G21" t="s">
        <v>23</v>
      </c>
      <c r="H21" t="s">
        <v>24</v>
      </c>
      <c r="I21" s="3">
        <v>0</v>
      </c>
    </row>
    <row r="22" spans="1:9">
      <c r="G22" t="s">
        <v>25</v>
      </c>
      <c r="H22" t="s">
        <v>24</v>
      </c>
      <c r="I22" s="3">
        <v>0</v>
      </c>
    </row>
    <row r="23" spans="1:9">
      <c r="A23" t="s">
        <v>6</v>
      </c>
      <c r="B23">
        <f>PARM_Account</f>
        <v>5000002</v>
      </c>
    </row>
    <row r="24" spans="1:9">
      <c r="A24" t="s">
        <v>7</v>
      </c>
      <c r="B24" s="1">
        <f>PARM_To_Date</f>
        <v>39478</v>
      </c>
    </row>
    <row r="25" spans="1:9">
      <c r="A25" t="s">
        <v>8</v>
      </c>
      <c r="B25" t="s">
        <v>12</v>
      </c>
    </row>
    <row r="28" spans="1:9">
      <c r="A28" s="2" t="s">
        <v>113</v>
      </c>
      <c r="G28" t="s">
        <v>4</v>
      </c>
    </row>
    <row r="29" spans="1:9">
      <c r="A29" t="s">
        <v>0</v>
      </c>
      <c r="B29" t="s">
        <v>27</v>
      </c>
      <c r="G29" t="s">
        <v>32</v>
      </c>
      <c r="H29" t="s">
        <v>24</v>
      </c>
      <c r="I29" s="3" t="str">
        <f>YEAR(PARM_To_Date)&amp;IF(MONTH(PARM_To_Date)&lt;10,"0"&amp;MONTH(PARM_To_Date),MONTH(PARM_To_Date))&amp;IF(DAY(PARM_To_Date)&lt;10,"0"&amp;DAY(PARM_To_Date),DAY(PARM_To_Date))</f>
        <v>20080131</v>
      </c>
    </row>
    <row r="30" spans="1:9">
      <c r="A30" t="s">
        <v>1</v>
      </c>
      <c r="B30" t="s">
        <v>2</v>
      </c>
      <c r="G30" t="s">
        <v>33</v>
      </c>
      <c r="H30" t="s">
        <v>17</v>
      </c>
      <c r="I30" s="3" t="s">
        <v>118</v>
      </c>
    </row>
    <row r="31" spans="1:9">
      <c r="G31" t="s">
        <v>34</v>
      </c>
      <c r="H31" t="s">
        <v>35</v>
      </c>
      <c r="I31" s="3" t="str">
        <f>YEAR(PARM_To_Date)&amp;IF(MONTH(PARM_To_Date)&lt;10,"0"&amp;MONTH(PARM_To_Date),MONTH(PARM_To_Date))&amp;IF(DAY(PARM_To_Date)&lt;10,"0"&amp;DAY(PARM_To_Date),DAY(PARM_To_Date))+1</f>
        <v>20080132</v>
      </c>
    </row>
    <row r="32" spans="1:9">
      <c r="A32" t="s">
        <v>6</v>
      </c>
      <c r="B32">
        <f>PARM_Account</f>
        <v>5000002</v>
      </c>
    </row>
    <row r="33" spans="1:9">
      <c r="A33" t="s">
        <v>28</v>
      </c>
      <c r="B33" s="1">
        <v>18264</v>
      </c>
    </row>
    <row r="34" spans="1:9">
      <c r="A34" t="s">
        <v>29</v>
      </c>
      <c r="B34" s="1">
        <f>PARM_To_Date</f>
        <v>39478</v>
      </c>
    </row>
    <row r="35" spans="1:9">
      <c r="A35" t="s">
        <v>30</v>
      </c>
      <c r="B35" t="s">
        <v>41</v>
      </c>
    </row>
    <row r="38" spans="1:9">
      <c r="A38" s="2" t="s">
        <v>36</v>
      </c>
      <c r="G38" t="s">
        <v>4</v>
      </c>
    </row>
    <row r="39" spans="1:9">
      <c r="A39" t="s">
        <v>0</v>
      </c>
      <c r="B39" t="s">
        <v>37</v>
      </c>
      <c r="G39" t="s">
        <v>14</v>
      </c>
      <c r="H39" t="s">
        <v>15</v>
      </c>
      <c r="I39" s="3" t="s">
        <v>22</v>
      </c>
    </row>
    <row r="40" spans="1:9">
      <c r="A40" t="s">
        <v>1</v>
      </c>
      <c r="B40" t="s">
        <v>2</v>
      </c>
      <c r="G40" t="s">
        <v>23</v>
      </c>
      <c r="H40" t="s">
        <v>24</v>
      </c>
      <c r="I40" s="3">
        <v>0</v>
      </c>
    </row>
    <row r="41" spans="1:9">
      <c r="G41" t="s">
        <v>25</v>
      </c>
      <c r="H41" t="s">
        <v>24</v>
      </c>
      <c r="I41" s="3">
        <v>0</v>
      </c>
    </row>
    <row r="42" spans="1:9">
      <c r="A42" t="s">
        <v>6</v>
      </c>
      <c r="B42">
        <f>PARM_Account</f>
        <v>5000002</v>
      </c>
    </row>
    <row r="43" spans="1:9">
      <c r="A43" t="s">
        <v>7</v>
      </c>
      <c r="B43" s="1">
        <f>PARM_To_Date</f>
        <v>39478</v>
      </c>
    </row>
    <row r="44" spans="1:9">
      <c r="A44" t="s">
        <v>8</v>
      </c>
      <c r="B44" t="s">
        <v>12</v>
      </c>
    </row>
    <row r="47" spans="1:9">
      <c r="A47" s="2" t="s">
        <v>38</v>
      </c>
      <c r="G47" t="s">
        <v>4</v>
      </c>
    </row>
    <row r="48" spans="1:9">
      <c r="A48" t="s">
        <v>0</v>
      </c>
      <c r="B48" t="s">
        <v>39</v>
      </c>
      <c r="G48" t="s">
        <v>14</v>
      </c>
      <c r="H48" t="s">
        <v>15</v>
      </c>
      <c r="I48" s="3" t="s">
        <v>40</v>
      </c>
    </row>
    <row r="49" spans="1:9">
      <c r="A49" t="s">
        <v>1</v>
      </c>
      <c r="B49" t="s">
        <v>2</v>
      </c>
      <c r="G49" t="s">
        <v>32</v>
      </c>
      <c r="H49" t="s">
        <v>24</v>
      </c>
      <c r="I49" s="3" t="str">
        <f>YEAR(PARM_To_Date)&amp;IF(MONTH(PARM_To_Date)&lt;10,"0"&amp;MONTH(PARM_To_Date),MONTH(PARM_To_Date))&amp;IF(DAY(PARM_To_Date)&lt;10,"0"&amp;DAY(PARM_To_Date),DAY(PARM_To_Date))</f>
        <v>20080131</v>
      </c>
    </row>
    <row r="50" spans="1:9">
      <c r="G50" t="s">
        <v>33</v>
      </c>
      <c r="H50" t="s">
        <v>17</v>
      </c>
      <c r="I50" s="3" t="s">
        <v>119</v>
      </c>
    </row>
    <row r="51" spans="1:9">
      <c r="A51" t="s">
        <v>6</v>
      </c>
      <c r="B51">
        <f>PARM_Account</f>
        <v>5000002</v>
      </c>
    </row>
    <row r="52" spans="1:9">
      <c r="A52" t="s">
        <v>28</v>
      </c>
      <c r="B52" s="1">
        <f>PARM_From_Date+1</f>
        <v>39448</v>
      </c>
    </row>
    <row r="53" spans="1:9">
      <c r="A53" t="s">
        <v>29</v>
      </c>
      <c r="B53" s="1">
        <f>PARM_To_Date</f>
        <v>39478</v>
      </c>
    </row>
    <row r="54" spans="1:9">
      <c r="A54" t="s">
        <v>30</v>
      </c>
      <c r="B54" t="s">
        <v>41</v>
      </c>
    </row>
    <row r="57" spans="1:9">
      <c r="A57" s="2" t="s">
        <v>42</v>
      </c>
      <c r="G57" t="s">
        <v>4</v>
      </c>
    </row>
    <row r="58" spans="1:9">
      <c r="A58" t="s">
        <v>0</v>
      </c>
      <c r="B58" t="s">
        <v>43</v>
      </c>
      <c r="G58" t="s">
        <v>14</v>
      </c>
      <c r="H58" t="s">
        <v>15</v>
      </c>
      <c r="I58" s="3" t="s">
        <v>40</v>
      </c>
    </row>
    <row r="59" spans="1:9">
      <c r="A59" t="s">
        <v>1</v>
      </c>
      <c r="B59" t="s">
        <v>2</v>
      </c>
      <c r="G59" t="s">
        <v>32</v>
      </c>
      <c r="H59" t="s">
        <v>24</v>
      </c>
      <c r="I59" s="3" t="str">
        <f>YEAR(PARM_To_Date)&amp;IF(MONTH(PARM_To_Date)&lt;10,"0"&amp;MONTH(PARM_To_Date),MONTH(PARM_To_Date))&amp;IF(DAY(PARM_To_Date)&lt;10,"0"&amp;DAY(PARM_To_Date),DAY(PARM_To_Date))</f>
        <v>20080131</v>
      </c>
    </row>
    <row r="60" spans="1:9">
      <c r="G60" t="s">
        <v>33</v>
      </c>
      <c r="H60" t="s">
        <v>17</v>
      </c>
      <c r="I60" s="3" t="s">
        <v>120</v>
      </c>
    </row>
    <row r="61" spans="1:9">
      <c r="A61" t="s">
        <v>6</v>
      </c>
      <c r="B61">
        <f>PARM_Account</f>
        <v>5000002</v>
      </c>
    </row>
    <row r="62" spans="1:9">
      <c r="A62" t="s">
        <v>28</v>
      </c>
      <c r="B62" s="1">
        <f>PARM_From_Date+1</f>
        <v>39448</v>
      </c>
    </row>
    <row r="63" spans="1:9">
      <c r="A63" t="s">
        <v>29</v>
      </c>
      <c r="B63" s="1">
        <f>PARM_To_Date</f>
        <v>39478</v>
      </c>
    </row>
    <row r="64" spans="1:9">
      <c r="A64" t="s">
        <v>30</v>
      </c>
      <c r="B64" t="s">
        <v>41</v>
      </c>
    </row>
    <row r="67" spans="1:9">
      <c r="A67" s="2" t="s">
        <v>44</v>
      </c>
      <c r="G67" t="s">
        <v>4</v>
      </c>
    </row>
    <row r="68" spans="1:9">
      <c r="A68" t="s">
        <v>0</v>
      </c>
      <c r="B68" t="s">
        <v>45</v>
      </c>
      <c r="G68" t="s">
        <v>14</v>
      </c>
      <c r="H68" t="s">
        <v>17</v>
      </c>
      <c r="I68" s="3" t="s">
        <v>48</v>
      </c>
    </row>
    <row r="69" spans="1:9">
      <c r="A69" t="s">
        <v>1</v>
      </c>
      <c r="B69" t="s">
        <v>2</v>
      </c>
      <c r="G69" t="s">
        <v>32</v>
      </c>
      <c r="H69" t="s">
        <v>24</v>
      </c>
      <c r="I69" s="3" t="str">
        <f>YEAR(PARM_To_Date)&amp;IF(MONTH(PARM_To_Date)&lt;10,"0"&amp;MONTH(PARM_To_Date),MONTH(PARM_To_Date))&amp;IF(DAY(PARM_To_Date)&lt;10,"0"&amp;DAY(PARM_To_Date),DAY(PARM_To_Date))</f>
        <v>20080131</v>
      </c>
    </row>
    <row r="70" spans="1:9">
      <c r="G70" t="s">
        <v>33</v>
      </c>
      <c r="H70" t="s">
        <v>15</v>
      </c>
      <c r="I70" s="3" t="s">
        <v>49</v>
      </c>
    </row>
    <row r="71" spans="1:9">
      <c r="A71" t="s">
        <v>6</v>
      </c>
      <c r="B71">
        <f>PARM_Account</f>
        <v>5000002</v>
      </c>
      <c r="G71" t="s">
        <v>111</v>
      </c>
      <c r="H71" t="s">
        <v>17</v>
      </c>
      <c r="I71" s="3" t="s">
        <v>112</v>
      </c>
    </row>
    <row r="72" spans="1:9">
      <c r="A72" t="s">
        <v>28</v>
      </c>
      <c r="B72" s="1">
        <f>PARM_From_Date+1</f>
        <v>39448</v>
      </c>
    </row>
    <row r="73" spans="1:9">
      <c r="A73" t="s">
        <v>29</v>
      </c>
      <c r="B73" s="1">
        <f>PARM_To_Date</f>
        <v>39478</v>
      </c>
    </row>
    <row r="74" spans="1:9">
      <c r="A74" t="s">
        <v>30</v>
      </c>
      <c r="B74" t="s">
        <v>41</v>
      </c>
    </row>
    <row r="77" spans="1:9">
      <c r="A77" s="2" t="s">
        <v>47</v>
      </c>
      <c r="G77" t="s">
        <v>4</v>
      </c>
    </row>
    <row r="78" spans="1:9">
      <c r="A78" t="s">
        <v>0</v>
      </c>
      <c r="B78" t="s">
        <v>46</v>
      </c>
      <c r="G78" t="s">
        <v>14</v>
      </c>
      <c r="H78" t="s">
        <v>17</v>
      </c>
      <c r="I78" s="3" t="s">
        <v>48</v>
      </c>
    </row>
    <row r="79" spans="1:9">
      <c r="A79" t="s">
        <v>1</v>
      </c>
      <c r="B79" t="s">
        <v>2</v>
      </c>
      <c r="G79" t="s">
        <v>32</v>
      </c>
      <c r="H79" t="s">
        <v>24</v>
      </c>
      <c r="I79" s="3" t="str">
        <f>YEAR(PARM_To_Date)&amp;IF(MONTH(PARM_To_Date)&lt;10,"0"&amp;MONTH(PARM_To_Date),MONTH(PARM_To_Date))&amp;IF(DAY(PARM_To_Date)&lt;10,"0"&amp;DAY(PARM_To_Date),DAY(PARM_To_Date))</f>
        <v>20080131</v>
      </c>
    </row>
    <row r="80" spans="1:9">
      <c r="G80" t="s">
        <v>33</v>
      </c>
      <c r="H80" t="s">
        <v>15</v>
      </c>
      <c r="I80" s="3" t="s">
        <v>49</v>
      </c>
    </row>
    <row r="81" spans="1:9">
      <c r="A81" t="s">
        <v>6</v>
      </c>
      <c r="B81">
        <f>PARM_Account</f>
        <v>5000002</v>
      </c>
      <c r="G81" t="s">
        <v>111</v>
      </c>
      <c r="H81" t="s">
        <v>15</v>
      </c>
      <c r="I81" s="3" t="s">
        <v>112</v>
      </c>
    </row>
    <row r="82" spans="1:9">
      <c r="A82" t="s">
        <v>28</v>
      </c>
      <c r="B82" s="1">
        <f>PARM_From_Date+1</f>
        <v>39448</v>
      </c>
    </row>
    <row r="83" spans="1:9">
      <c r="A83" t="s">
        <v>29</v>
      </c>
      <c r="B83" s="1">
        <f>PARM_To_Date</f>
        <v>39478</v>
      </c>
    </row>
    <row r="84" spans="1:9">
      <c r="A84" t="s">
        <v>30</v>
      </c>
      <c r="B84" t="s">
        <v>41</v>
      </c>
    </row>
    <row r="87" spans="1:9">
      <c r="A87" s="2" t="s">
        <v>114</v>
      </c>
      <c r="G87" t="s">
        <v>4</v>
      </c>
    </row>
    <row r="88" spans="1:9">
      <c r="A88" t="s">
        <v>0</v>
      </c>
      <c r="B88" t="s">
        <v>115</v>
      </c>
      <c r="G88" s="19" t="s">
        <v>116</v>
      </c>
      <c r="H88" t="s">
        <v>15</v>
      </c>
      <c r="I88" s="3">
        <v>0</v>
      </c>
    </row>
    <row r="89" spans="1:9">
      <c r="A89" t="s">
        <v>1</v>
      </c>
      <c r="B89" t="s">
        <v>2</v>
      </c>
    </row>
    <row r="91" spans="1:9">
      <c r="A91" t="s">
        <v>6</v>
      </c>
      <c r="B91">
        <f>PARM_Account</f>
        <v>5000002</v>
      </c>
    </row>
    <row r="92" spans="1:9">
      <c r="A92" t="s">
        <v>7</v>
      </c>
      <c r="B92" s="1">
        <f>PARM_To_Date</f>
        <v>39478</v>
      </c>
    </row>
    <row r="93" spans="1:9">
      <c r="A93" t="s">
        <v>8</v>
      </c>
      <c r="B93" t="s">
        <v>12</v>
      </c>
    </row>
  </sheetData>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Sheet8"/>
  <dimension ref="A1:G11"/>
  <sheetViews>
    <sheetView zoomScaleNormal="100" workbookViewId="0">
      <selection activeCell="D2" sqref="D2"/>
    </sheetView>
  </sheetViews>
  <sheetFormatPr defaultColWidth="8.88671875" defaultRowHeight="10.199999999999999"/>
  <cols>
    <col min="1" max="1" width="19.33203125" style="238" customWidth="1"/>
    <col min="2" max="2" width="16" style="238" customWidth="1"/>
    <col min="3" max="3" width="53.88671875" style="238" bestFit="1" customWidth="1"/>
    <col min="4" max="4" width="16.6640625" style="238" bestFit="1" customWidth="1"/>
    <col min="5" max="5" width="16.88671875" style="238" bestFit="1" customWidth="1"/>
    <col min="6" max="6" width="15.109375" style="238" customWidth="1"/>
    <col min="7" max="7" width="51.88671875" style="238" bestFit="1" customWidth="1"/>
    <col min="8" max="8" width="1.33203125" style="238" customWidth="1"/>
    <col min="9" max="16384" width="8.88671875" style="238"/>
  </cols>
  <sheetData>
    <row r="1" spans="1:7" s="231" customFormat="1" ht="25.5" customHeight="1">
      <c r="A1" s="5" t="s">
        <v>61</v>
      </c>
      <c r="B1" s="5" t="s">
        <v>50</v>
      </c>
      <c r="C1" s="5" t="s">
        <v>51</v>
      </c>
      <c r="D1" s="6" t="s">
        <v>62</v>
      </c>
      <c r="E1" s="6" t="s">
        <v>168</v>
      </c>
      <c r="F1" s="6" t="s">
        <v>53</v>
      </c>
      <c r="G1" s="254" t="s">
        <v>121</v>
      </c>
    </row>
    <row r="2" spans="1:7" s="231" customFormat="1" ht="25.5" customHeight="1">
      <c r="A2" s="5" t="s">
        <v>265</v>
      </c>
      <c r="B2" s="255"/>
      <c r="C2" s="492" t="s">
        <v>270</v>
      </c>
      <c r="D2" s="6">
        <v>75.16</v>
      </c>
      <c r="E2" s="6">
        <v>75.16</v>
      </c>
      <c r="F2" s="6">
        <f>D2-E2</f>
        <v>0</v>
      </c>
      <c r="G2" s="254"/>
    </row>
    <row r="3" spans="1:7" s="231" customFormat="1" ht="25.5" customHeight="1">
      <c r="A3" s="5"/>
      <c r="B3" s="5"/>
      <c r="C3" s="5"/>
      <c r="D3" s="6"/>
      <c r="E3" s="6"/>
      <c r="F3" s="6"/>
      <c r="G3" s="254"/>
    </row>
    <row r="4" spans="1:7" s="231" customFormat="1" ht="25.5" customHeight="1">
      <c r="A4" s="5"/>
      <c r="B4" s="5"/>
      <c r="C4" s="5"/>
      <c r="D4" s="6"/>
      <c r="E4" s="6"/>
      <c r="F4" s="6"/>
      <c r="G4" s="254"/>
    </row>
    <row r="5" spans="1:7" s="231" customFormat="1" ht="25.5" customHeight="1">
      <c r="A5" s="5"/>
      <c r="B5" s="5"/>
      <c r="C5" s="5"/>
      <c r="D5" s="6"/>
      <c r="E5" s="6"/>
      <c r="F5" s="6"/>
      <c r="G5" s="254"/>
    </row>
    <row r="6" spans="1:7" s="231" customFormat="1" ht="19.5" customHeight="1">
      <c r="A6" s="256"/>
      <c r="B6" s="235"/>
      <c r="D6" s="236"/>
      <c r="E6" s="236"/>
      <c r="F6" s="236"/>
      <c r="G6" s="5"/>
    </row>
    <row r="7" spans="1:7" s="231" customFormat="1" ht="11.25" customHeight="1">
      <c r="D7" s="257"/>
      <c r="E7" s="257"/>
      <c r="F7" s="257"/>
    </row>
    <row r="8" spans="1:7" s="231" customFormat="1" ht="19.5" customHeight="1" thickBot="1">
      <c r="C8" s="7" t="s">
        <v>60</v>
      </c>
      <c r="D8" s="8">
        <f>SUM(D2:D7)</f>
        <v>75.16</v>
      </c>
      <c r="E8" s="8">
        <f>SUM(E2:E7)</f>
        <v>75.16</v>
      </c>
      <c r="F8" s="8">
        <f>SUM(F2:F7)</f>
        <v>0</v>
      </c>
    </row>
    <row r="9" spans="1:7" s="231" customFormat="1" ht="13.8" thickTop="1"/>
    <row r="10" spans="1:7" s="231" customFormat="1" ht="13.8" thickBot="1"/>
    <row r="11" spans="1:7" s="231" customFormat="1" ht="13.8" thickBot="1">
      <c r="A11" s="49" t="s">
        <v>123</v>
      </c>
      <c r="B11" s="49"/>
      <c r="C11" s="229"/>
      <c r="D11" s="258"/>
      <c r="E11" s="229"/>
      <c r="F11" s="229"/>
      <c r="G11" s="229"/>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sheetPr codeName="Sheet9"/>
  <dimension ref="A2:M48"/>
  <sheetViews>
    <sheetView zoomScale="85" zoomScaleNormal="85" workbookViewId="0">
      <selection activeCell="B46" sqref="B46"/>
    </sheetView>
  </sheetViews>
  <sheetFormatPr defaultColWidth="8.88671875" defaultRowHeight="13.2"/>
  <cols>
    <col min="1" max="1" width="14.5546875" style="231" customWidth="1"/>
    <col min="2" max="2" width="28.6640625" style="231" customWidth="1"/>
    <col min="3" max="3" width="14" style="322" customWidth="1"/>
    <col min="4" max="5" width="17.88671875" style="231" bestFit="1" customWidth="1"/>
    <col min="6" max="6" width="13.88671875" style="231" customWidth="1"/>
    <col min="7" max="7" width="14.6640625" style="231" customWidth="1"/>
    <col min="8" max="8" width="10" style="231" bestFit="1" customWidth="1"/>
    <col min="9" max="9" width="12.88671875" style="231" customWidth="1"/>
    <col min="10" max="10" width="16.109375" style="231" customWidth="1"/>
    <col min="11" max="11" width="16.33203125" style="231" customWidth="1"/>
    <col min="12" max="12" width="46" style="231" customWidth="1"/>
    <col min="13" max="16384" width="8.88671875" style="231"/>
  </cols>
  <sheetData>
    <row r="2" spans="1:12" ht="13.8" thickBot="1">
      <c r="D2" s="393"/>
      <c r="E2" s="393"/>
      <c r="J2" s="49"/>
      <c r="K2" s="394"/>
    </row>
    <row r="3" spans="1:12" ht="25.5" customHeight="1" thickBot="1">
      <c r="A3" s="395" t="s">
        <v>65</v>
      </c>
      <c r="B3" s="395" t="s">
        <v>51</v>
      </c>
      <c r="C3" s="396" t="s">
        <v>63</v>
      </c>
      <c r="D3" s="397" t="s">
        <v>66</v>
      </c>
      <c r="E3" s="397" t="s">
        <v>166</v>
      </c>
      <c r="F3" s="397" t="s">
        <v>67</v>
      </c>
      <c r="G3" s="397" t="s">
        <v>68</v>
      </c>
      <c r="H3" s="397" t="s">
        <v>69</v>
      </c>
      <c r="I3" s="397" t="s">
        <v>70</v>
      </c>
      <c r="J3" s="397" t="s">
        <v>160</v>
      </c>
      <c r="K3" s="397"/>
      <c r="L3" s="398" t="s">
        <v>121</v>
      </c>
    </row>
    <row r="4" spans="1:12" ht="17.100000000000001" customHeight="1">
      <c r="A4" s="399"/>
      <c r="B4" s="400"/>
      <c r="C4" s="399"/>
      <c r="D4" s="356"/>
      <c r="E4" s="401"/>
      <c r="F4" s="402"/>
      <c r="G4" s="402"/>
      <c r="H4" s="358"/>
      <c r="I4" s="400"/>
      <c r="J4" s="403"/>
      <c r="K4" s="403"/>
    </row>
    <row r="5" spans="1:12" s="355" customFormat="1" ht="17.100000000000001" customHeight="1">
      <c r="A5" s="399"/>
      <c r="B5" s="400"/>
      <c r="C5" s="399"/>
      <c r="D5" s="356"/>
      <c r="E5" s="401"/>
      <c r="F5" s="402"/>
      <c r="G5" s="402"/>
      <c r="H5" s="358"/>
      <c r="I5" s="400"/>
      <c r="J5" s="403"/>
      <c r="K5" s="403"/>
    </row>
    <row r="6" spans="1:12" s="355" customFormat="1" ht="17.100000000000001" customHeight="1">
      <c r="A6" s="399"/>
      <c r="B6" s="400"/>
      <c r="C6" s="399"/>
      <c r="D6" s="356"/>
      <c r="E6" s="401"/>
      <c r="F6" s="402"/>
      <c r="G6" s="402"/>
      <c r="H6" s="358"/>
      <c r="I6" s="400"/>
      <c r="J6" s="403"/>
      <c r="K6" s="403"/>
    </row>
    <row r="7" spans="1:12" s="355" customFormat="1" ht="17.100000000000001" customHeight="1">
      <c r="A7" s="399"/>
      <c r="B7" s="400"/>
      <c r="C7" s="399"/>
      <c r="D7" s="356"/>
      <c r="E7" s="401"/>
      <c r="F7" s="402"/>
      <c r="G7" s="402"/>
      <c r="H7" s="358"/>
      <c r="I7" s="400"/>
      <c r="J7" s="403"/>
      <c r="K7" s="403"/>
    </row>
    <row r="8" spans="1:12" s="355" customFormat="1" ht="17.100000000000001" customHeight="1">
      <c r="A8" s="399"/>
      <c r="B8" s="400"/>
      <c r="C8" s="399"/>
      <c r="D8" s="356"/>
      <c r="E8" s="401"/>
      <c r="F8" s="402"/>
      <c r="G8" s="402"/>
      <c r="H8" s="358"/>
      <c r="I8" s="400"/>
      <c r="J8" s="403"/>
      <c r="K8" s="403"/>
    </row>
    <row r="9" spans="1:12" s="355" customFormat="1" ht="17.100000000000001" customHeight="1">
      <c r="A9" s="399"/>
      <c r="B9" s="400"/>
      <c r="C9" s="399"/>
      <c r="D9" s="356"/>
      <c r="E9" s="401"/>
      <c r="F9" s="402"/>
      <c r="G9" s="402"/>
      <c r="H9" s="358"/>
      <c r="I9" s="400"/>
      <c r="J9" s="403"/>
      <c r="K9" s="403"/>
    </row>
    <row r="10" spans="1:12" s="355" customFormat="1" ht="17.100000000000001" customHeight="1">
      <c r="A10" s="399"/>
      <c r="B10" s="400"/>
      <c r="C10" s="399"/>
      <c r="D10" s="356"/>
      <c r="E10" s="401"/>
      <c r="F10" s="402"/>
      <c r="G10" s="402"/>
      <c r="H10" s="358"/>
      <c r="I10" s="400"/>
      <c r="J10" s="403"/>
      <c r="K10" s="403"/>
    </row>
    <row r="11" spans="1:12" s="355" customFormat="1" ht="17.100000000000001" customHeight="1">
      <c r="A11" s="399"/>
      <c r="B11" s="400"/>
      <c r="C11" s="399"/>
      <c r="D11" s="356"/>
      <c r="E11" s="401"/>
      <c r="F11" s="402"/>
      <c r="G11" s="402"/>
      <c r="H11" s="358"/>
      <c r="I11" s="400"/>
      <c r="J11" s="403"/>
      <c r="K11" s="403"/>
    </row>
    <row r="12" spans="1:12" s="355" customFormat="1" ht="17.100000000000001" customHeight="1">
      <c r="A12" s="399"/>
      <c r="B12" s="400"/>
      <c r="C12" s="399"/>
      <c r="D12" s="356"/>
      <c r="E12" s="401"/>
      <c r="F12" s="402"/>
      <c r="G12" s="402"/>
      <c r="H12" s="358"/>
      <c r="I12" s="400"/>
      <c r="J12" s="403">
        <v>0</v>
      </c>
      <c r="K12" s="403">
        <v>0</v>
      </c>
    </row>
    <row r="13" spans="1:12" s="355" customFormat="1" ht="17.100000000000001" customHeight="1">
      <c r="A13" s="399"/>
      <c r="B13" s="400"/>
      <c r="C13" s="399"/>
      <c r="D13" s="356"/>
      <c r="E13" s="401"/>
      <c r="F13" s="402"/>
      <c r="G13" s="402"/>
      <c r="H13" s="358"/>
      <c r="J13" s="403"/>
      <c r="K13" s="403"/>
    </row>
    <row r="14" spans="1:12" s="355" customFormat="1" ht="17.100000000000001" customHeight="1">
      <c r="A14" s="399"/>
      <c r="B14" s="400"/>
      <c r="C14" s="399"/>
      <c r="D14" s="356"/>
      <c r="E14" s="401"/>
      <c r="F14" s="402"/>
      <c r="G14" s="402"/>
      <c r="H14" s="358"/>
      <c r="J14" s="403"/>
      <c r="K14" s="403"/>
    </row>
    <row r="15" spans="1:12" s="355" customFormat="1" ht="17.100000000000001" customHeight="1">
      <c r="C15" s="356"/>
      <c r="D15" s="356"/>
      <c r="E15" s="401"/>
      <c r="F15" s="358"/>
      <c r="G15" s="358"/>
      <c r="H15" s="358"/>
      <c r="J15" s="403"/>
      <c r="K15" s="403"/>
    </row>
    <row r="16" spans="1:12" s="355" customFormat="1" ht="17.100000000000001" customHeight="1">
      <c r="C16" s="356"/>
      <c r="D16" s="404"/>
      <c r="E16" s="401"/>
      <c r="F16" s="358"/>
      <c r="G16" s="358"/>
      <c r="H16" s="358"/>
      <c r="J16" s="403"/>
      <c r="K16" s="403"/>
    </row>
    <row r="17" spans="1:13" ht="17.100000000000001" customHeight="1">
      <c r="A17" s="405"/>
      <c r="B17" s="405"/>
      <c r="C17" s="404"/>
      <c r="D17" s="404"/>
      <c r="E17" s="406"/>
      <c r="F17" s="407"/>
      <c r="G17" s="407"/>
      <c r="H17" s="358"/>
      <c r="I17" s="355"/>
      <c r="J17" s="408"/>
      <c r="K17" s="408"/>
    </row>
    <row r="18" spans="1:13" ht="18" customHeight="1">
      <c r="A18" s="409"/>
      <c r="B18" s="355"/>
      <c r="C18" s="356"/>
      <c r="D18" s="355"/>
      <c r="E18" s="411"/>
      <c r="F18" s="412"/>
      <c r="G18" s="412"/>
      <c r="H18" s="412"/>
      <c r="I18" s="397"/>
      <c r="J18" s="396"/>
      <c r="K18" s="396">
        <v>0</v>
      </c>
    </row>
    <row r="19" spans="1:13" ht="18.75" customHeight="1" thickBot="1">
      <c r="B19" s="413" t="s">
        <v>169</v>
      </c>
      <c r="C19" s="414"/>
      <c r="D19" s="410">
        <f>SUM(D4:D18)</f>
        <v>0</v>
      </c>
      <c r="E19" s="410">
        <f>SUM(E4:E18)</f>
        <v>0</v>
      </c>
      <c r="F19" s="415"/>
      <c r="G19" s="415"/>
      <c r="H19" s="415"/>
      <c r="I19" s="415"/>
      <c r="J19" s="416">
        <f>SUM(J4:J18)</f>
        <v>0</v>
      </c>
      <c r="K19" s="416">
        <f>SUM(K4:K18)</f>
        <v>0</v>
      </c>
    </row>
    <row r="20" spans="1:13" ht="13.8" thickTop="1">
      <c r="M20" s="417"/>
    </row>
    <row r="23" spans="1:13" ht="39.6">
      <c r="A23" s="395" t="s">
        <v>65</v>
      </c>
      <c r="B23" s="395" t="s">
        <v>51</v>
      </c>
      <c r="C23" s="396" t="s">
        <v>63</v>
      </c>
      <c r="D23" s="397" t="s">
        <v>66</v>
      </c>
      <c r="E23" s="397" t="s">
        <v>166</v>
      </c>
      <c r="F23" s="397" t="s">
        <v>67</v>
      </c>
      <c r="G23" s="397" t="s">
        <v>68</v>
      </c>
      <c r="H23" s="418" t="s">
        <v>69</v>
      </c>
      <c r="I23" s="418" t="s">
        <v>70</v>
      </c>
      <c r="J23" s="418" t="s">
        <v>160</v>
      </c>
      <c r="K23" s="418" t="s">
        <v>167</v>
      </c>
    </row>
    <row r="24" spans="1:13">
      <c r="A24" s="399"/>
      <c r="B24" s="400"/>
      <c r="C24" s="399"/>
      <c r="D24" s="356"/>
      <c r="E24" s="401"/>
      <c r="F24" s="402"/>
      <c r="G24" s="402"/>
      <c r="H24" s="419"/>
      <c r="I24" s="400"/>
      <c r="J24" s="403"/>
      <c r="K24" s="403"/>
      <c r="L24" s="420"/>
    </row>
    <row r="25" spans="1:13">
      <c r="A25" s="399"/>
      <c r="B25" s="400"/>
      <c r="C25" s="399"/>
      <c r="D25" s="356"/>
      <c r="E25" s="401"/>
      <c r="F25" s="402"/>
      <c r="G25" s="402"/>
      <c r="H25" s="419"/>
      <c r="I25" s="400"/>
      <c r="J25" s="403"/>
      <c r="K25" s="403"/>
      <c r="L25" s="420"/>
    </row>
    <row r="26" spans="1:13" ht="13.2" customHeight="1">
      <c r="A26" s="399"/>
      <c r="B26" s="400"/>
      <c r="C26" s="399"/>
      <c r="D26" s="356"/>
      <c r="E26" s="401"/>
      <c r="F26" s="402"/>
      <c r="G26" s="402"/>
      <c r="H26" s="419"/>
      <c r="I26" s="400"/>
      <c r="J26" s="403"/>
      <c r="K26" s="403"/>
      <c r="L26" s="420"/>
    </row>
    <row r="27" spans="1:13">
      <c r="A27" s="399"/>
      <c r="B27" s="400"/>
      <c r="C27" s="399"/>
      <c r="D27" s="401"/>
      <c r="E27" s="401"/>
      <c r="F27" s="402"/>
      <c r="G27" s="402"/>
      <c r="H27" s="419"/>
      <c r="I27" s="400"/>
      <c r="J27" s="403"/>
      <c r="K27" s="403"/>
      <c r="L27" s="420"/>
    </row>
    <row r="28" spans="1:13">
      <c r="A28" s="399"/>
      <c r="B28" s="400"/>
      <c r="C28" s="399"/>
      <c r="D28" s="401"/>
      <c r="E28" s="401"/>
      <c r="F28" s="402"/>
      <c r="G28" s="402"/>
      <c r="H28" s="419"/>
      <c r="I28" s="400"/>
      <c r="J28" s="403"/>
      <c r="K28" s="403"/>
      <c r="L28" s="420"/>
    </row>
    <row r="29" spans="1:13">
      <c r="A29" s="399"/>
      <c r="B29" s="400"/>
      <c r="C29" s="399"/>
      <c r="D29" s="401"/>
      <c r="E29" s="401"/>
      <c r="F29" s="402"/>
      <c r="G29" s="402"/>
      <c r="H29" s="419"/>
      <c r="I29" s="400"/>
      <c r="J29" s="403"/>
      <c r="K29" s="403"/>
      <c r="L29" s="420"/>
    </row>
    <row r="30" spans="1:13">
      <c r="A30" s="399"/>
      <c r="B30" s="400"/>
      <c r="C30" s="399"/>
      <c r="D30" s="356"/>
      <c r="E30" s="401"/>
      <c r="F30" s="402"/>
      <c r="G30" s="402"/>
      <c r="H30" s="419"/>
      <c r="I30" s="400"/>
      <c r="J30" s="403"/>
      <c r="K30" s="403"/>
      <c r="L30" s="420"/>
    </row>
    <row r="31" spans="1:13">
      <c r="A31" s="399"/>
      <c r="B31" s="400"/>
      <c r="C31" s="399"/>
      <c r="D31" s="356"/>
      <c r="E31" s="401"/>
      <c r="F31" s="402"/>
      <c r="G31" s="402"/>
      <c r="H31" s="419"/>
      <c r="I31" s="400"/>
      <c r="J31" s="403"/>
      <c r="K31" s="403"/>
      <c r="L31" s="420"/>
    </row>
    <row r="32" spans="1:13">
      <c r="A32" s="399"/>
      <c r="B32" s="400"/>
      <c r="C32" s="399"/>
      <c r="D32" s="401"/>
      <c r="E32" s="401"/>
      <c r="F32" s="402"/>
      <c r="G32" s="402"/>
      <c r="H32" s="419"/>
      <c r="I32" s="400"/>
      <c r="J32" s="403"/>
      <c r="K32" s="403"/>
      <c r="L32" s="420"/>
    </row>
    <row r="33" spans="1:12">
      <c r="A33" s="399"/>
      <c r="B33" s="400"/>
      <c r="C33" s="399"/>
      <c r="D33" s="401"/>
      <c r="E33" s="401"/>
      <c r="F33" s="402"/>
      <c r="G33" s="402"/>
      <c r="H33" s="419"/>
      <c r="I33" s="400"/>
      <c r="J33" s="403"/>
      <c r="K33" s="403"/>
      <c r="L33" s="420"/>
    </row>
    <row r="34" spans="1:12">
      <c r="A34" s="399"/>
      <c r="B34" s="400"/>
      <c r="C34" s="399"/>
      <c r="D34" s="401"/>
      <c r="E34" s="401"/>
      <c r="F34" s="402"/>
      <c r="G34" s="402"/>
      <c r="H34" s="419"/>
      <c r="I34" s="400"/>
      <c r="J34" s="403"/>
      <c r="K34" s="403"/>
      <c r="L34" s="420"/>
    </row>
    <row r="35" spans="1:12">
      <c r="A35" s="399"/>
      <c r="B35" s="400"/>
      <c r="C35" s="399"/>
      <c r="D35" s="401"/>
      <c r="E35" s="401"/>
      <c r="F35" s="402"/>
      <c r="G35" s="402"/>
      <c r="H35" s="419"/>
      <c r="I35" s="400"/>
      <c r="J35" s="403"/>
      <c r="K35" s="403"/>
      <c r="L35" s="420"/>
    </row>
    <row r="36" spans="1:12">
      <c r="A36" s="399"/>
      <c r="B36" s="400"/>
      <c r="C36" s="399"/>
      <c r="D36" s="401"/>
      <c r="E36" s="401"/>
      <c r="F36" s="402"/>
      <c r="G36" s="402"/>
      <c r="H36" s="419"/>
      <c r="I36" s="400"/>
      <c r="J36" s="403"/>
      <c r="K36" s="403"/>
      <c r="L36" s="420"/>
    </row>
    <row r="37" spans="1:12">
      <c r="A37" s="399"/>
      <c r="B37" s="400"/>
      <c r="C37" s="399"/>
      <c r="D37" s="356"/>
      <c r="E37" s="401"/>
      <c r="F37" s="402"/>
      <c r="G37" s="402"/>
      <c r="H37" s="419"/>
      <c r="I37" s="400"/>
      <c r="J37" s="403"/>
      <c r="K37" s="403"/>
      <c r="L37" s="420"/>
    </row>
    <row r="38" spans="1:12">
      <c r="A38" s="399"/>
      <c r="B38" s="400"/>
      <c r="C38" s="399"/>
      <c r="D38" s="356"/>
      <c r="E38" s="401"/>
      <c r="F38" s="402"/>
      <c r="G38" s="402"/>
      <c r="H38" s="419"/>
      <c r="I38" s="400"/>
      <c r="J38" s="403"/>
      <c r="K38" s="403"/>
      <c r="L38" s="420"/>
    </row>
    <row r="39" spans="1:12">
      <c r="A39" s="399"/>
      <c r="B39" s="400"/>
      <c r="C39" s="399"/>
      <c r="D39" s="356"/>
      <c r="E39" s="401"/>
      <c r="F39" s="402"/>
      <c r="G39" s="402"/>
      <c r="H39" s="419"/>
      <c r="I39" s="400"/>
      <c r="J39" s="403"/>
      <c r="K39" s="403"/>
      <c r="L39" s="420"/>
    </row>
    <row r="40" spans="1:12">
      <c r="A40" s="399"/>
      <c r="B40" s="400"/>
      <c r="C40" s="399"/>
      <c r="D40" s="355"/>
      <c r="E40" s="401"/>
      <c r="F40" s="402"/>
      <c r="G40" s="402"/>
      <c r="H40" s="419"/>
      <c r="I40" s="355"/>
      <c r="J40" s="403"/>
      <c r="K40" s="403"/>
      <c r="L40" s="420"/>
    </row>
    <row r="41" spans="1:12">
      <c r="A41" s="355"/>
      <c r="B41" s="355"/>
      <c r="C41" s="356"/>
      <c r="D41" s="356"/>
      <c r="E41" s="401"/>
      <c r="F41" s="358"/>
      <c r="G41" s="358"/>
      <c r="H41" s="419"/>
      <c r="I41" s="355"/>
      <c r="J41" s="403"/>
      <c r="K41" s="403"/>
      <c r="L41" s="420"/>
    </row>
    <row r="42" spans="1:12">
      <c r="A42" s="399"/>
      <c r="B42" s="400"/>
      <c r="C42" s="406"/>
      <c r="D42" s="356"/>
      <c r="E42" s="401"/>
      <c r="F42" s="402"/>
      <c r="G42" s="402"/>
      <c r="H42" s="419"/>
      <c r="I42" s="355"/>
      <c r="J42" s="403"/>
      <c r="K42" s="408"/>
      <c r="L42" s="420"/>
    </row>
    <row r="43" spans="1:12">
      <c r="A43" s="399"/>
      <c r="B43" s="400"/>
      <c r="C43" s="406"/>
      <c r="D43" s="356"/>
      <c r="E43" s="401"/>
      <c r="F43" s="402"/>
      <c r="G43" s="402"/>
      <c r="H43" s="419"/>
      <c r="I43" s="355"/>
      <c r="J43" s="403"/>
      <c r="K43" s="408"/>
      <c r="L43" s="420"/>
    </row>
    <row r="44" spans="1:12">
      <c r="A44" s="355"/>
      <c r="B44" s="355"/>
      <c r="C44" s="356"/>
      <c r="D44" s="421"/>
      <c r="E44" s="421"/>
      <c r="F44" s="359"/>
      <c r="G44" s="359"/>
      <c r="H44" s="419"/>
      <c r="I44" s="357"/>
      <c r="J44" s="422"/>
      <c r="K44" s="422"/>
    </row>
    <row r="45" spans="1:12" ht="13.8" thickBot="1">
      <c r="B45" s="413" t="s">
        <v>235</v>
      </c>
      <c r="C45" s="423"/>
      <c r="D45" s="8">
        <f>SUM(D24:D44)</f>
        <v>0</v>
      </c>
      <c r="E45" s="8">
        <f>SUM(E24:E44)</f>
        <v>0</v>
      </c>
      <c r="F45" s="424"/>
      <c r="G45" s="424"/>
      <c r="H45" s="424"/>
      <c r="I45" s="424"/>
      <c r="J45" s="410">
        <f>SUM(J24:J44)</f>
        <v>0</v>
      </c>
      <c r="K45" s="410">
        <f>SUM(K24:K44)</f>
        <v>0</v>
      </c>
    </row>
    <row r="46" spans="1:12" ht="13.8" thickTop="1"/>
    <row r="48" spans="1:12">
      <c r="E48" s="237"/>
    </row>
  </sheetData>
  <phoneticPr fontId="0" type="noConversion"/>
  <pageMargins left="0.1" right="0.1" top="0.5" bottom="0.5" header="0.25" footer="0.25"/>
  <pageSetup scale="61"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sheetPr codeName="Sheet11"/>
  <dimension ref="A2:O58"/>
  <sheetViews>
    <sheetView zoomScale="85" zoomScaleNormal="85" workbookViewId="0">
      <selection activeCell="A52" sqref="A52"/>
    </sheetView>
  </sheetViews>
  <sheetFormatPr defaultColWidth="8.88671875" defaultRowHeight="13.2"/>
  <cols>
    <col min="1" max="1" width="21.33203125" style="231" customWidth="1"/>
    <col min="2" max="2" width="17.6640625" style="231" customWidth="1"/>
    <col min="3" max="3" width="22" style="231" customWidth="1"/>
    <col min="4" max="4" width="21" style="231" customWidth="1"/>
    <col min="5" max="5" width="22.88671875" style="231" customWidth="1"/>
    <col min="6" max="6" width="22.5546875" style="231" customWidth="1"/>
    <col min="7" max="7" width="24.6640625" style="231" customWidth="1"/>
    <col min="8" max="8" width="24.33203125" style="231" customWidth="1"/>
    <col min="9" max="9" width="3" style="231" customWidth="1"/>
    <col min="10" max="10" width="11.5546875" style="231" bestFit="1" customWidth="1"/>
    <col min="11" max="11" width="11.6640625" style="231" bestFit="1" customWidth="1"/>
    <col min="12" max="12" width="16" style="231" customWidth="1"/>
    <col min="13" max="13" width="15" style="231" bestFit="1" customWidth="1"/>
    <col min="14" max="14" width="12.33203125" style="231" customWidth="1"/>
    <col min="15" max="16384" width="8.88671875" style="231"/>
  </cols>
  <sheetData>
    <row r="2" spans="1:15" ht="13.8" thickBot="1">
      <c r="A2" s="330" t="s">
        <v>170</v>
      </c>
    </row>
    <row r="3" spans="1:15" ht="25.5" customHeight="1">
      <c r="A3" s="346" t="s">
        <v>71</v>
      </c>
      <c r="B3" s="347" t="s">
        <v>72</v>
      </c>
      <c r="C3" s="348" t="s">
        <v>161</v>
      </c>
      <c r="D3" s="348" t="s">
        <v>73</v>
      </c>
      <c r="E3" s="347" t="s">
        <v>74</v>
      </c>
      <c r="F3" s="348" t="s">
        <v>162</v>
      </c>
      <c r="G3" s="347" t="s">
        <v>127</v>
      </c>
      <c r="H3" s="349" t="s">
        <v>138</v>
      </c>
      <c r="I3" s="347"/>
      <c r="J3" s="348" t="s">
        <v>67</v>
      </c>
      <c r="K3" s="348" t="s">
        <v>68</v>
      </c>
      <c r="L3" s="350" t="s">
        <v>121</v>
      </c>
    </row>
    <row r="4" spans="1:15">
      <c r="A4" s="483"/>
      <c r="B4" s="484"/>
      <c r="C4" s="484"/>
      <c r="D4" s="485"/>
      <c r="E4" s="484"/>
      <c r="F4" s="484"/>
      <c r="G4" s="351"/>
      <c r="H4" s="351"/>
      <c r="I4" s="361"/>
      <c r="J4" s="486"/>
      <c r="K4" s="486"/>
      <c r="L4" s="361"/>
      <c r="M4" s="425"/>
      <c r="N4" s="358"/>
      <c r="O4" s="354"/>
    </row>
    <row r="5" spans="1:15">
      <c r="A5" s="483"/>
      <c r="B5" s="484"/>
      <c r="C5" s="484"/>
      <c r="D5" s="485"/>
      <c r="E5" s="484"/>
      <c r="F5" s="484"/>
      <c r="G5" s="351"/>
      <c r="H5" s="351"/>
      <c r="I5" s="361"/>
      <c r="J5" s="486"/>
      <c r="K5" s="486"/>
      <c r="L5" s="361"/>
      <c r="M5" s="425"/>
      <c r="N5" s="358"/>
      <c r="O5" s="361"/>
    </row>
    <row r="6" spans="1:15">
      <c r="A6" s="483"/>
      <c r="B6" s="484"/>
      <c r="C6" s="484"/>
      <c r="D6" s="485"/>
      <c r="E6" s="484"/>
      <c r="F6" s="484"/>
      <c r="G6" s="351"/>
      <c r="H6" s="351"/>
      <c r="I6" s="361"/>
      <c r="J6" s="486"/>
      <c r="K6" s="486"/>
      <c r="L6" s="361"/>
      <c r="M6" s="425"/>
      <c r="N6" s="358"/>
      <c r="O6" s="361"/>
    </row>
    <row r="7" spans="1:15">
      <c r="A7" s="483"/>
      <c r="B7" s="484"/>
      <c r="C7" s="484"/>
      <c r="D7" s="485"/>
      <c r="E7" s="484"/>
      <c r="F7" s="484"/>
      <c r="G7" s="351"/>
      <c r="H7" s="351"/>
      <c r="I7" s="361"/>
      <c r="J7" s="486"/>
      <c r="K7" s="486"/>
      <c r="L7" s="361"/>
      <c r="M7" s="425"/>
      <c r="N7" s="358"/>
      <c r="O7" s="361"/>
    </row>
    <row r="8" spans="1:15">
      <c r="A8" s="483"/>
      <c r="B8" s="484"/>
      <c r="C8" s="484"/>
      <c r="D8" s="485"/>
      <c r="E8" s="484"/>
      <c r="F8" s="484"/>
      <c r="G8" s="351"/>
      <c r="H8" s="351"/>
      <c r="I8" s="361"/>
      <c r="J8" s="486"/>
      <c r="K8" s="486"/>
      <c r="L8" s="354"/>
      <c r="M8" s="425"/>
      <c r="N8" s="358"/>
      <c r="O8" s="354"/>
    </row>
    <row r="9" spans="1:15">
      <c r="A9" s="356"/>
      <c r="B9" s="356"/>
      <c r="C9" s="356"/>
      <c r="D9" s="356"/>
      <c r="E9" s="356"/>
      <c r="F9" s="356"/>
      <c r="G9" s="351"/>
      <c r="H9" s="351"/>
      <c r="I9" s="361"/>
      <c r="J9" s="358"/>
      <c r="K9" s="358"/>
      <c r="L9" s="354"/>
      <c r="M9" s="425"/>
      <c r="N9" s="358"/>
      <c r="O9" s="354"/>
    </row>
    <row r="10" spans="1:15">
      <c r="A10" s="356"/>
      <c r="B10" s="356"/>
      <c r="C10" s="356"/>
      <c r="D10" s="356"/>
      <c r="E10" s="356"/>
      <c r="F10" s="356"/>
      <c r="G10" s="351"/>
      <c r="H10" s="351"/>
      <c r="I10" s="361"/>
      <c r="J10" s="358"/>
      <c r="K10" s="358"/>
      <c r="L10" s="354"/>
      <c r="M10" s="425"/>
      <c r="N10" s="358"/>
      <c r="O10" s="361"/>
    </row>
    <row r="11" spans="1:15">
      <c r="A11" s="355"/>
      <c r="B11" s="356"/>
      <c r="C11" s="356"/>
      <c r="D11" s="355"/>
      <c r="E11" s="356"/>
      <c r="F11" s="356"/>
      <c r="G11" s="351"/>
      <c r="H11" s="351"/>
      <c r="I11" s="361"/>
      <c r="J11" s="358"/>
      <c r="K11" s="358"/>
      <c r="L11" s="361"/>
      <c r="M11" s="425"/>
      <c r="N11" s="358"/>
      <c r="O11" s="361"/>
    </row>
    <row r="12" spans="1:15">
      <c r="A12" s="355"/>
      <c r="B12" s="356"/>
      <c r="C12" s="356"/>
      <c r="D12" s="355"/>
      <c r="E12" s="356"/>
      <c r="F12" s="356"/>
      <c r="G12" s="351"/>
      <c r="H12" s="351"/>
      <c r="I12" s="361"/>
      <c r="J12" s="358"/>
      <c r="K12" s="358"/>
      <c r="L12" s="354"/>
    </row>
    <row r="13" spans="1:15">
      <c r="A13" s="355"/>
      <c r="B13" s="356"/>
      <c r="C13" s="356"/>
      <c r="D13" s="355"/>
      <c r="E13" s="356"/>
      <c r="F13" s="356"/>
      <c r="G13" s="351"/>
      <c r="H13" s="356"/>
      <c r="I13" s="361"/>
      <c r="J13" s="358"/>
      <c r="K13" s="358"/>
      <c r="L13" s="355"/>
    </row>
    <row r="14" spans="1:15">
      <c r="A14" s="361"/>
      <c r="B14" s="351"/>
      <c r="C14" s="351"/>
      <c r="D14" s="361"/>
      <c r="E14" s="351"/>
      <c r="F14" s="351"/>
      <c r="G14" s="351"/>
      <c r="H14" s="352">
        <v>0</v>
      </c>
      <c r="I14" s="361"/>
      <c r="J14" s="363"/>
      <c r="K14" s="363"/>
      <c r="L14" s="354"/>
    </row>
    <row r="15" spans="1:15">
      <c r="A15" s="361"/>
      <c r="B15" s="351"/>
      <c r="C15" s="351"/>
      <c r="D15" s="361"/>
      <c r="E15" s="351"/>
      <c r="F15" s="351"/>
      <c r="G15" s="351"/>
      <c r="H15" s="352"/>
      <c r="I15" s="361"/>
      <c r="J15" s="363"/>
      <c r="K15" s="363"/>
      <c r="L15" s="354"/>
    </row>
    <row r="16" spans="1:15" s="345" customFormat="1">
      <c r="B16" s="342"/>
      <c r="C16" s="342"/>
      <c r="E16" s="342"/>
      <c r="F16" s="362"/>
      <c r="G16" s="342"/>
      <c r="H16" s="343"/>
      <c r="J16" s="333"/>
      <c r="K16" s="333"/>
    </row>
    <row r="17" spans="1:14">
      <c r="B17" s="322"/>
      <c r="C17" s="322"/>
      <c r="D17" s="331"/>
      <c r="E17" s="332"/>
      <c r="F17" s="332"/>
      <c r="G17" s="322"/>
      <c r="H17" s="325"/>
      <c r="J17" s="334"/>
      <c r="K17" s="334"/>
    </row>
    <row r="18" spans="1:14">
      <c r="B18" s="322"/>
      <c r="C18" s="322"/>
      <c r="D18" s="331"/>
      <c r="E18" s="332"/>
      <c r="F18" s="332"/>
      <c r="G18" s="322"/>
      <c r="H18" s="325"/>
      <c r="J18" s="334"/>
      <c r="K18" s="334"/>
    </row>
    <row r="19" spans="1:14">
      <c r="B19" s="322"/>
      <c r="C19" s="322"/>
      <c r="E19" s="322"/>
      <c r="F19" s="322"/>
      <c r="G19" s="322"/>
      <c r="H19" s="325"/>
      <c r="J19" s="323"/>
      <c r="K19" s="323"/>
    </row>
    <row r="20" spans="1:14">
      <c r="B20" s="322"/>
      <c r="C20" s="322"/>
      <c r="E20" s="322"/>
      <c r="F20" s="322"/>
      <c r="G20" s="322"/>
      <c r="H20" s="322"/>
      <c r="J20" s="323"/>
    </row>
    <row r="21" spans="1:14">
      <c r="B21" s="257"/>
      <c r="C21" s="257"/>
      <c r="D21" s="257"/>
      <c r="E21" s="257"/>
      <c r="F21" s="257"/>
      <c r="G21" s="257"/>
      <c r="H21" s="257"/>
      <c r="I21" s="257"/>
      <c r="J21" s="257"/>
      <c r="K21" s="257"/>
      <c r="L21" s="257"/>
      <c r="M21" s="257"/>
      <c r="N21" s="257"/>
    </row>
    <row r="22" spans="1:14" ht="13.8" thickBot="1">
      <c r="A22" s="326" t="s">
        <v>133</v>
      </c>
      <c r="B22" s="327">
        <f>SUM(B4:B21)</f>
        <v>0</v>
      </c>
      <c r="C22" s="327">
        <f t="shared" ref="C22:H22" si="0">SUM(C4:C21)</f>
        <v>0</v>
      </c>
      <c r="D22" s="327">
        <f t="shared" si="0"/>
        <v>0</v>
      </c>
      <c r="E22" s="327">
        <f>SUM(E4:E21)</f>
        <v>0</v>
      </c>
      <c r="F22" s="327">
        <f t="shared" si="0"/>
        <v>0</v>
      </c>
      <c r="G22" s="327">
        <f t="shared" si="0"/>
        <v>0</v>
      </c>
      <c r="H22" s="327">
        <f t="shared" si="0"/>
        <v>0</v>
      </c>
      <c r="I22" s="327"/>
      <c r="J22" s="327"/>
      <c r="K22" s="327"/>
      <c r="L22" s="327"/>
      <c r="M22" s="327"/>
      <c r="N22" s="327"/>
    </row>
    <row r="23" spans="1:14" ht="13.8" thickTop="1"/>
    <row r="24" spans="1:14" ht="13.8" thickBot="1"/>
    <row r="25" spans="1:14" ht="38.4" customHeight="1">
      <c r="A25" s="346" t="s">
        <v>71</v>
      </c>
      <c r="B25" s="347" t="s">
        <v>72</v>
      </c>
      <c r="C25" s="348" t="s">
        <v>161</v>
      </c>
      <c r="D25" s="348" t="s">
        <v>73</v>
      </c>
      <c r="E25" s="347" t="s">
        <v>74</v>
      </c>
      <c r="F25" s="348" t="s">
        <v>162</v>
      </c>
      <c r="G25" s="347" t="s">
        <v>127</v>
      </c>
      <c r="H25" s="349" t="s">
        <v>138</v>
      </c>
      <c r="I25" s="347"/>
      <c r="J25" s="348" t="s">
        <v>67</v>
      </c>
      <c r="K25" s="348" t="s">
        <v>68</v>
      </c>
      <c r="L25" s="350" t="s">
        <v>121</v>
      </c>
    </row>
    <row r="26" spans="1:14" s="345" customFormat="1">
      <c r="A26" s="487"/>
      <c r="B26" s="484"/>
      <c r="C26" s="484"/>
      <c r="D26" s="488"/>
      <c r="E26" s="484"/>
      <c r="F26" s="484"/>
      <c r="G26" s="351"/>
      <c r="H26" s="351"/>
      <c r="I26" s="353"/>
      <c r="J26" s="489"/>
      <c r="K26" s="489"/>
      <c r="L26" s="354"/>
      <c r="N26" s="344"/>
    </row>
    <row r="27" spans="1:14" s="345" customFormat="1">
      <c r="A27" s="487"/>
      <c r="B27" s="484"/>
      <c r="C27" s="484"/>
      <c r="D27" s="488"/>
      <c r="E27" s="484"/>
      <c r="F27" s="484"/>
      <c r="G27" s="351"/>
      <c r="H27" s="351"/>
      <c r="I27" s="353"/>
      <c r="J27" s="489"/>
      <c r="K27" s="489"/>
      <c r="L27" s="361"/>
      <c r="N27" s="344"/>
    </row>
    <row r="28" spans="1:14" s="345" customFormat="1">
      <c r="A28" s="487"/>
      <c r="B28" s="484"/>
      <c r="C28" s="484"/>
      <c r="D28" s="488"/>
      <c r="E28" s="484"/>
      <c r="F28" s="484"/>
      <c r="G28" s="351"/>
      <c r="H28" s="351"/>
      <c r="I28" s="353"/>
      <c r="J28" s="489"/>
      <c r="K28" s="489"/>
      <c r="L28" s="361"/>
      <c r="N28" s="344"/>
    </row>
    <row r="29" spans="1:14" s="345" customFormat="1">
      <c r="A29" s="487"/>
      <c r="B29" s="484"/>
      <c r="C29" s="484"/>
      <c r="D29" s="488"/>
      <c r="E29" s="484"/>
      <c r="F29" s="484"/>
      <c r="G29" s="351"/>
      <c r="H29" s="351"/>
      <c r="I29" s="353"/>
      <c r="J29" s="489"/>
      <c r="K29" s="489"/>
      <c r="L29" s="361"/>
      <c r="N29" s="344"/>
    </row>
    <row r="30" spans="1:14" s="345" customFormat="1">
      <c r="A30" s="487"/>
      <c r="B30" s="484"/>
      <c r="C30" s="484"/>
      <c r="D30" s="488"/>
      <c r="E30" s="484"/>
      <c r="F30" s="484"/>
      <c r="G30" s="351"/>
      <c r="H30" s="351"/>
      <c r="I30" s="353"/>
      <c r="J30" s="489"/>
      <c r="K30" s="489"/>
      <c r="L30" s="354"/>
      <c r="N30" s="344"/>
    </row>
    <row r="31" spans="1:14" s="345" customFormat="1">
      <c r="A31" s="487"/>
      <c r="B31" s="484"/>
      <c r="C31" s="484"/>
      <c r="D31" s="488"/>
      <c r="E31" s="484"/>
      <c r="F31" s="484"/>
      <c r="G31" s="351"/>
      <c r="H31" s="351"/>
      <c r="I31" s="353"/>
      <c r="J31" s="489"/>
      <c r="K31" s="489"/>
      <c r="L31" s="354"/>
      <c r="N31" s="344"/>
    </row>
    <row r="32" spans="1:14" s="345" customFormat="1">
      <c r="A32" s="356"/>
      <c r="B32" s="356"/>
      <c r="C32" s="356"/>
      <c r="D32" s="356"/>
      <c r="E32" s="356"/>
      <c r="F32" s="356"/>
      <c r="G32" s="351"/>
      <c r="H32" s="351"/>
      <c r="I32" s="353"/>
      <c r="J32" s="358"/>
      <c r="K32" s="358"/>
      <c r="L32" s="354"/>
      <c r="N32" s="344"/>
    </row>
    <row r="33" spans="1:14" s="345" customFormat="1">
      <c r="A33" s="356"/>
      <c r="B33" s="356"/>
      <c r="C33" s="356"/>
      <c r="D33" s="356"/>
      <c r="E33" s="356"/>
      <c r="F33" s="356"/>
      <c r="G33" s="351"/>
      <c r="H33" s="351"/>
      <c r="I33" s="353"/>
      <c r="J33" s="358"/>
      <c r="K33" s="358"/>
      <c r="L33" s="354"/>
      <c r="N33" s="344"/>
    </row>
    <row r="34" spans="1:14" s="345" customFormat="1">
      <c r="A34" s="356"/>
      <c r="B34" s="356"/>
      <c r="C34" s="356"/>
      <c r="D34" s="356"/>
      <c r="E34" s="356"/>
      <c r="F34" s="356"/>
      <c r="G34" s="351"/>
      <c r="H34" s="351"/>
      <c r="I34" s="353"/>
      <c r="J34" s="358"/>
      <c r="K34" s="358"/>
      <c r="L34" s="354"/>
      <c r="N34" s="344"/>
    </row>
    <row r="35" spans="1:14" s="345" customFormat="1">
      <c r="A35" s="356"/>
      <c r="B35" s="356"/>
      <c r="C35" s="356"/>
      <c r="D35" s="356"/>
      <c r="E35" s="356"/>
      <c r="F35" s="356"/>
      <c r="G35" s="351"/>
      <c r="H35" s="351"/>
      <c r="I35" s="353"/>
      <c r="J35" s="358"/>
      <c r="K35" s="358"/>
      <c r="L35" s="354"/>
      <c r="N35" s="344"/>
    </row>
    <row r="36" spans="1:14" s="345" customFormat="1">
      <c r="A36" s="356"/>
      <c r="B36" s="356"/>
      <c r="C36" s="356"/>
      <c r="D36" s="356"/>
      <c r="E36" s="356"/>
      <c r="F36" s="356"/>
      <c r="G36" s="351"/>
      <c r="H36" s="351"/>
      <c r="I36" s="353"/>
      <c r="J36" s="358"/>
      <c r="K36" s="358"/>
      <c r="L36" s="354"/>
      <c r="N36" s="344"/>
    </row>
    <row r="37" spans="1:14" s="345" customFormat="1">
      <c r="A37" s="356"/>
      <c r="B37" s="356"/>
      <c r="C37" s="356"/>
      <c r="D37" s="356"/>
      <c r="E37" s="356"/>
      <c r="F37" s="356"/>
      <c r="G37" s="351"/>
      <c r="H37" s="351"/>
      <c r="I37" s="353"/>
      <c r="J37" s="358"/>
      <c r="K37" s="358"/>
      <c r="L37" s="354"/>
      <c r="N37" s="344"/>
    </row>
    <row r="38" spans="1:14" s="345" customFormat="1">
      <c r="A38" s="356"/>
      <c r="B38" s="356"/>
      <c r="C38" s="356"/>
      <c r="D38" s="356"/>
      <c r="E38" s="356"/>
      <c r="F38" s="356"/>
      <c r="G38" s="351"/>
      <c r="H38" s="351"/>
      <c r="I38" s="353"/>
      <c r="J38" s="358"/>
      <c r="K38" s="358"/>
      <c r="L38" s="354"/>
      <c r="N38" s="344"/>
    </row>
    <row r="39" spans="1:14" s="345" customFormat="1">
      <c r="A39" s="356"/>
      <c r="B39" s="356"/>
      <c r="C39" s="356"/>
      <c r="D39" s="356"/>
      <c r="E39" s="356"/>
      <c r="F39" s="356"/>
      <c r="G39" s="351"/>
      <c r="H39" s="351"/>
      <c r="I39" s="353"/>
      <c r="J39" s="358"/>
      <c r="K39" s="358"/>
      <c r="L39" s="361"/>
      <c r="N39" s="344"/>
    </row>
    <row r="40" spans="1:14" s="345" customFormat="1">
      <c r="A40" s="356"/>
      <c r="B40" s="356"/>
      <c r="C40" s="356"/>
      <c r="D40" s="356"/>
      <c r="E40" s="356"/>
      <c r="F40" s="356"/>
      <c r="G40" s="351"/>
      <c r="H40" s="352"/>
      <c r="I40" s="353"/>
      <c r="J40" s="358"/>
      <c r="K40" s="358"/>
      <c r="L40" s="361"/>
      <c r="N40" s="344"/>
    </row>
    <row r="41" spans="1:14" s="345" customFormat="1">
      <c r="A41" s="356"/>
      <c r="B41" s="356"/>
      <c r="C41" s="356"/>
      <c r="D41" s="356"/>
      <c r="E41" s="356"/>
      <c r="F41" s="356"/>
      <c r="G41" s="351"/>
      <c r="H41" s="352">
        <v>0</v>
      </c>
      <c r="I41" s="353"/>
      <c r="J41" s="358"/>
      <c r="K41" s="358"/>
      <c r="L41" s="361"/>
      <c r="N41" s="344"/>
    </row>
    <row r="42" spans="1:14" s="345" customFormat="1">
      <c r="A42" s="365"/>
      <c r="B42" s="366"/>
      <c r="C42" s="367"/>
      <c r="D42" s="368"/>
      <c r="E42" s="369"/>
      <c r="F42" s="369"/>
      <c r="G42" s="351"/>
      <c r="H42" s="352">
        <v>0</v>
      </c>
      <c r="I42" s="353"/>
      <c r="J42" s="358"/>
      <c r="K42" s="358"/>
      <c r="L42" s="354"/>
      <c r="N42" s="344"/>
    </row>
    <row r="43" spans="1:14" s="345" customFormat="1">
      <c r="A43" s="365"/>
      <c r="B43" s="366"/>
      <c r="C43" s="367"/>
      <c r="D43" s="368"/>
      <c r="E43" s="369"/>
      <c r="F43" s="369"/>
      <c r="G43" s="351"/>
      <c r="H43" s="352">
        <v>0</v>
      </c>
      <c r="I43" s="353"/>
      <c r="J43" s="381"/>
      <c r="K43" s="363"/>
      <c r="L43" s="354"/>
      <c r="N43" s="344"/>
    </row>
    <row r="44" spans="1:14" s="345" customFormat="1">
      <c r="A44" s="365"/>
      <c r="B44" s="366"/>
      <c r="C44" s="367"/>
      <c r="D44" s="368"/>
      <c r="E44" s="369"/>
      <c r="F44" s="369"/>
      <c r="G44" s="351"/>
      <c r="H44" s="352">
        <v>0</v>
      </c>
      <c r="I44" s="353"/>
      <c r="J44" s="381"/>
      <c r="K44" s="363"/>
      <c r="L44" s="354"/>
      <c r="N44" s="344"/>
    </row>
    <row r="45" spans="1:14" s="345" customFormat="1">
      <c r="A45" s="361"/>
      <c r="B45" s="351"/>
      <c r="C45" s="351"/>
      <c r="D45" s="361"/>
      <c r="E45" s="351"/>
      <c r="F45" s="351"/>
      <c r="G45" s="351"/>
      <c r="H45" s="352">
        <v>0</v>
      </c>
      <c r="I45" s="353"/>
      <c r="J45" s="363"/>
      <c r="K45" s="363"/>
      <c r="L45" s="354"/>
      <c r="N45" s="344"/>
    </row>
    <row r="46" spans="1:14" s="345" customFormat="1">
      <c r="A46" s="361"/>
      <c r="B46" s="351"/>
      <c r="C46" s="351"/>
      <c r="D46" s="361"/>
      <c r="E46" s="351"/>
      <c r="F46" s="351"/>
      <c r="G46" s="351"/>
      <c r="H46" s="352">
        <v>0</v>
      </c>
      <c r="I46" s="353"/>
      <c r="J46" s="363"/>
      <c r="K46" s="363"/>
      <c r="L46" s="354"/>
      <c r="N46" s="344"/>
    </row>
    <row r="47" spans="1:14" s="345" customFormat="1">
      <c r="A47" s="361"/>
      <c r="B47" s="351"/>
      <c r="C47" s="351"/>
      <c r="D47" s="361"/>
      <c r="E47" s="351"/>
      <c r="F47" s="351"/>
      <c r="G47" s="351"/>
      <c r="H47" s="352">
        <v>0</v>
      </c>
      <c r="I47" s="353"/>
      <c r="J47" s="363"/>
      <c r="K47" s="363"/>
      <c r="L47" s="361"/>
      <c r="N47" s="344"/>
    </row>
    <row r="48" spans="1:14">
      <c r="A48" s="355"/>
      <c r="B48" s="356"/>
      <c r="C48" s="356"/>
      <c r="D48" s="355"/>
      <c r="E48" s="356"/>
      <c r="F48" s="356"/>
      <c r="G48" s="356"/>
      <c r="H48" s="356"/>
      <c r="I48" s="357"/>
      <c r="J48" s="358"/>
      <c r="K48" s="359"/>
      <c r="L48" s="360"/>
      <c r="M48" s="236"/>
      <c r="N48" s="236"/>
    </row>
    <row r="49" spans="1:14">
      <c r="A49" s="355"/>
      <c r="B49" s="356"/>
      <c r="C49" s="356"/>
      <c r="D49" s="355"/>
      <c r="E49" s="356"/>
      <c r="F49" s="356"/>
      <c r="G49" s="356"/>
      <c r="H49" s="356"/>
      <c r="I49" s="357"/>
      <c r="J49" s="358"/>
      <c r="K49" s="359"/>
      <c r="L49" s="360"/>
      <c r="M49" s="236"/>
      <c r="N49" s="236"/>
    </row>
    <row r="50" spans="1:14">
      <c r="B50" s="239"/>
      <c r="C50" s="239"/>
      <c r="D50" s="239"/>
      <c r="E50" s="239"/>
      <c r="F50" s="239"/>
      <c r="G50" s="239"/>
      <c r="H50" s="239"/>
      <c r="I50" s="239"/>
      <c r="J50" s="239"/>
      <c r="K50" s="239"/>
      <c r="L50" s="239"/>
      <c r="M50" s="257"/>
      <c r="N50" s="257"/>
    </row>
    <row r="51" spans="1:14" ht="13.8" thickBot="1">
      <c r="A51" s="326" t="s">
        <v>202</v>
      </c>
      <c r="B51" s="327">
        <f>SUM(B26:B49)</f>
        <v>0</v>
      </c>
      <c r="C51" s="327">
        <f>SUM(C26:C50)</f>
        <v>0</v>
      </c>
      <c r="D51" s="327"/>
      <c r="E51" s="327">
        <f>SUM(E26:E50)</f>
        <v>0</v>
      </c>
      <c r="F51" s="327">
        <f>SUM(F26:F50)</f>
        <v>0</v>
      </c>
      <c r="G51" s="327">
        <f>SUM(G26:G50)</f>
        <v>0</v>
      </c>
      <c r="H51" s="327">
        <f>SUM(H26:H50)</f>
        <v>0</v>
      </c>
      <c r="I51" s="327"/>
      <c r="J51" s="327"/>
      <c r="K51" s="327"/>
      <c r="L51" s="327"/>
      <c r="M51" s="327"/>
      <c r="N51" s="327"/>
    </row>
    <row r="52" spans="1:14" ht="14.4" thickTop="1" thickBot="1"/>
    <row r="53" spans="1:14" ht="13.8" thickBot="1">
      <c r="D53" s="335" t="s">
        <v>172</v>
      </c>
      <c r="E53" s="336" t="s">
        <v>171</v>
      </c>
      <c r="F53" s="337" t="s">
        <v>53</v>
      </c>
    </row>
    <row r="54" spans="1:14" ht="40.200000000000003" thickBot="1">
      <c r="C54" s="328" t="s">
        <v>234</v>
      </c>
      <c r="D54" s="338">
        <f>G22</f>
        <v>0</v>
      </c>
      <c r="E54" s="339">
        <f>H22</f>
        <v>0</v>
      </c>
      <c r="F54" s="340">
        <f>D54-E54</f>
        <v>0</v>
      </c>
    </row>
    <row r="55" spans="1:14" ht="44.25" customHeight="1" thickBot="1">
      <c r="C55" s="329" t="s">
        <v>136</v>
      </c>
      <c r="D55" s="338">
        <f>G51</f>
        <v>0</v>
      </c>
      <c r="E55" s="339">
        <f>H51</f>
        <v>0</v>
      </c>
      <c r="F55" s="340">
        <f>D55-E55</f>
        <v>0</v>
      </c>
    </row>
    <row r="58" spans="1:14">
      <c r="E58" s="23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3.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L50"/>
  <sheetViews>
    <sheetView topLeftCell="A4" zoomScale="75" workbookViewId="0">
      <selection activeCell="D6" sqref="D6"/>
    </sheetView>
  </sheetViews>
  <sheetFormatPr defaultColWidth="9.109375" defaultRowHeight="13.2"/>
  <cols>
    <col min="1" max="1" width="2.6640625" style="10" customWidth="1"/>
    <col min="2" max="2" width="42.109375" style="10" customWidth="1"/>
    <col min="3" max="3" width="17.33203125" style="10" customWidth="1"/>
    <col min="4" max="7" width="19.33203125" style="10" customWidth="1"/>
    <col min="8" max="8" width="18.6640625" style="10" customWidth="1"/>
    <col min="9" max="9" width="23.5546875" style="10" customWidth="1"/>
    <col min="10" max="10" width="17.88671875" style="10" bestFit="1" customWidth="1"/>
    <col min="11" max="11" width="62.33203125" style="10" customWidth="1"/>
    <col min="12" max="12" width="46.5546875" style="10" customWidth="1"/>
    <col min="13" max="16384" width="9.109375" style="11"/>
  </cols>
  <sheetData>
    <row r="1" spans="1:12" ht="19.5" customHeight="1">
      <c r="A1" s="9" t="s">
        <v>75</v>
      </c>
    </row>
    <row r="2" spans="1:12" ht="19.5" customHeight="1">
      <c r="A2" s="9" t="s">
        <v>76</v>
      </c>
      <c r="J2" s="12" t="s">
        <v>77</v>
      </c>
      <c r="K2" s="45" t="s">
        <v>163</v>
      </c>
      <c r="L2" s="13"/>
    </row>
    <row r="3" spans="1:12" ht="19.5" customHeight="1">
      <c r="A3" s="26" t="s">
        <v>110</v>
      </c>
      <c r="B3" s="25"/>
      <c r="C3" s="44">
        <v>39660</v>
      </c>
      <c r="J3" s="12" t="s">
        <v>78</v>
      </c>
      <c r="K3" s="45" t="s">
        <v>164</v>
      </c>
    </row>
    <row r="4" spans="1:12" ht="19.5" customHeight="1">
      <c r="A4" s="22" t="s">
        <v>109</v>
      </c>
      <c r="B4" s="21"/>
      <c r="C4" s="20" t="s">
        <v>122</v>
      </c>
      <c r="J4" s="12" t="s">
        <v>79</v>
      </c>
      <c r="K4" s="45" t="s">
        <v>165</v>
      </c>
    </row>
    <row r="5" spans="1:12" ht="19.5" customHeight="1">
      <c r="A5" s="25" t="s">
        <v>80</v>
      </c>
      <c r="B5" s="25"/>
      <c r="C5" s="27"/>
      <c r="J5" s="12" t="s">
        <v>81</v>
      </c>
      <c r="K5" s="45"/>
      <c r="L5" s="14"/>
    </row>
    <row r="6" spans="1:12" ht="19.5" customHeight="1">
      <c r="D6" s="50"/>
      <c r="E6" s="50"/>
      <c r="F6" s="50"/>
      <c r="G6" s="50"/>
      <c r="J6" s="12"/>
      <c r="K6" s="13"/>
    </row>
    <row r="7" spans="1:12">
      <c r="J7" s="12"/>
      <c r="K7" s="15"/>
      <c r="L7" s="13"/>
    </row>
    <row r="8" spans="1:12" ht="13.8" thickBot="1">
      <c r="A8" s="13"/>
      <c r="B8" s="13"/>
      <c r="C8" s="13"/>
      <c r="D8" s="13"/>
      <c r="E8" s="13"/>
      <c r="F8" s="13"/>
      <c r="G8" s="13"/>
      <c r="H8" s="13"/>
      <c r="I8" s="13"/>
      <c r="J8" s="13"/>
      <c r="K8" s="13"/>
      <c r="L8" s="13"/>
    </row>
    <row r="9" spans="1:12">
      <c r="A9" s="16"/>
      <c r="B9" s="16"/>
      <c r="C9" s="78" t="s">
        <v>181</v>
      </c>
      <c r="D9" s="79" t="s">
        <v>181</v>
      </c>
      <c r="E9" s="80" t="s">
        <v>180</v>
      </c>
      <c r="F9" s="78" t="s">
        <v>182</v>
      </c>
      <c r="G9" s="79" t="s">
        <v>183</v>
      </c>
      <c r="H9" s="80" t="s">
        <v>184</v>
      </c>
      <c r="I9" s="106" t="s">
        <v>185</v>
      </c>
      <c r="J9" s="69" t="s">
        <v>83</v>
      </c>
      <c r="K9" s="17" t="s">
        <v>84</v>
      </c>
      <c r="L9" s="17" t="s">
        <v>80</v>
      </c>
    </row>
    <row r="10" spans="1:12">
      <c r="A10" s="13"/>
      <c r="B10" s="16"/>
      <c r="C10" s="81" t="s">
        <v>85</v>
      </c>
      <c r="D10" s="17" t="s">
        <v>171</v>
      </c>
      <c r="E10" s="82" t="s">
        <v>53</v>
      </c>
      <c r="F10" s="81" t="s">
        <v>85</v>
      </c>
      <c r="G10" s="17" t="s">
        <v>171</v>
      </c>
      <c r="H10" s="82" t="s">
        <v>53</v>
      </c>
      <c r="I10" s="107" t="s">
        <v>53</v>
      </c>
      <c r="J10" s="69" t="s">
        <v>86</v>
      </c>
      <c r="K10" s="17" t="s">
        <v>83</v>
      </c>
      <c r="L10" s="17" t="s">
        <v>87</v>
      </c>
    </row>
    <row r="11" spans="1:12">
      <c r="A11" s="13"/>
      <c r="B11" s="16"/>
      <c r="C11" s="83"/>
      <c r="D11" s="16"/>
      <c r="E11" s="84"/>
      <c r="F11" s="83"/>
      <c r="G11" s="16"/>
      <c r="H11" s="84"/>
      <c r="I11" s="108"/>
      <c r="J11" s="16"/>
      <c r="K11" s="16"/>
      <c r="L11" s="16" t="s">
        <v>80</v>
      </c>
    </row>
    <row r="12" spans="1:12" ht="15.6">
      <c r="A12" s="13"/>
      <c r="B12" s="18" t="s">
        <v>88</v>
      </c>
      <c r="C12" s="83"/>
      <c r="D12" s="16"/>
      <c r="E12" s="84"/>
      <c r="F12" s="83"/>
      <c r="G12" s="16"/>
      <c r="H12" s="84"/>
      <c r="I12" s="108"/>
      <c r="J12" s="16"/>
      <c r="K12" s="16"/>
      <c r="L12" s="16"/>
    </row>
    <row r="13" spans="1:12" ht="19.5" customHeight="1" thickBot="1">
      <c r="A13" s="28" t="s">
        <v>89</v>
      </c>
      <c r="B13" s="13"/>
      <c r="C13" s="85"/>
      <c r="D13" s="13"/>
      <c r="E13" s="86"/>
      <c r="F13" s="85"/>
      <c r="G13" s="13"/>
      <c r="H13" s="86"/>
      <c r="I13" s="109"/>
      <c r="J13" s="13"/>
      <c r="K13" s="13"/>
      <c r="L13" s="13"/>
    </row>
    <row r="14" spans="1:12" ht="25.5" customHeight="1" thickBot="1">
      <c r="A14" s="29"/>
      <c r="B14" s="71" t="s">
        <v>173</v>
      </c>
      <c r="C14" s="139">
        <v>5108829.51</v>
      </c>
      <c r="D14" s="138">
        <v>5108826</v>
      </c>
      <c r="E14" s="168">
        <f>C14-D14</f>
        <v>3.5099999997764826</v>
      </c>
      <c r="F14" s="137">
        <f>Cash!F15-Cash!K15</f>
        <v>869608.49</v>
      </c>
      <c r="G14" s="138">
        <f>Cash!G15</f>
        <v>869608.5</v>
      </c>
      <c r="H14" s="167">
        <f>F14-G14</f>
        <v>-1.0000000009313226E-2</v>
      </c>
      <c r="I14" s="115">
        <f>E14-H14</f>
        <v>3.5199999997857958</v>
      </c>
      <c r="J14" s="105" t="s">
        <v>117</v>
      </c>
      <c r="K14" s="146" t="s">
        <v>189</v>
      </c>
      <c r="L14" s="58" t="s">
        <v>191</v>
      </c>
    </row>
    <row r="15" spans="1:12" ht="19.5" customHeight="1">
      <c r="A15" s="13"/>
      <c r="B15" s="13"/>
      <c r="C15" s="142" t="s">
        <v>190</v>
      </c>
      <c r="D15" s="32"/>
      <c r="E15" s="88"/>
      <c r="F15" s="32"/>
      <c r="G15" s="32"/>
      <c r="H15" s="88"/>
      <c r="I15" s="111"/>
      <c r="J15" s="33"/>
      <c r="K15" s="52"/>
      <c r="L15" s="34"/>
    </row>
    <row r="16" spans="1:12" ht="19.5" customHeight="1" thickBot="1">
      <c r="A16" s="35" t="s">
        <v>90</v>
      </c>
      <c r="B16" s="13"/>
      <c r="C16" s="89"/>
      <c r="D16" s="32"/>
      <c r="E16" s="88"/>
      <c r="F16" s="32"/>
      <c r="G16" s="32"/>
      <c r="H16" s="88"/>
      <c r="I16" s="111"/>
      <c r="J16" s="33"/>
      <c r="K16" s="52"/>
      <c r="L16" s="34"/>
    </row>
    <row r="17" spans="1:12" ht="25.5" customHeight="1" thickBot="1">
      <c r="A17" s="36"/>
      <c r="B17" s="71" t="s">
        <v>91</v>
      </c>
      <c r="C17" s="121">
        <v>37355444</v>
      </c>
      <c r="D17" s="136">
        <v>37355444</v>
      </c>
      <c r="E17" s="135">
        <f>C17-D17</f>
        <v>0</v>
      </c>
      <c r="F17" s="70" t="e">
        <f>Share_Cost_Mkt!#REF!</f>
        <v>#REF!</v>
      </c>
      <c r="G17" s="90">
        <f>Share_Cost_Mkt!D97</f>
        <v>659625</v>
      </c>
      <c r="H17" s="120" t="e">
        <f>F17-G17</f>
        <v>#REF!</v>
      </c>
      <c r="I17" s="140" t="e">
        <f>E17-H17</f>
        <v>#REF!</v>
      </c>
      <c r="J17" s="105" t="s">
        <v>108</v>
      </c>
      <c r="K17" s="146"/>
      <c r="L17" s="31"/>
    </row>
    <row r="18" spans="1:12" ht="25.5" customHeight="1" thickBot="1">
      <c r="A18" s="36"/>
      <c r="B18" s="72" t="s">
        <v>92</v>
      </c>
      <c r="C18" s="132">
        <v>94566913.510000005</v>
      </c>
      <c r="D18" s="131">
        <v>94550730</v>
      </c>
      <c r="E18" s="143">
        <f>C18-D18</f>
        <v>16183.510000005364</v>
      </c>
      <c r="F18" s="132" t="e">
        <f>Share_Cost_Mkt!#REF!</f>
        <v>#REF!</v>
      </c>
      <c r="G18" s="132">
        <f>Share_Cost_Mkt!G97</f>
        <v>16470504.040000001</v>
      </c>
      <c r="H18" s="145" t="e">
        <f>F18-G18</f>
        <v>#REF!</v>
      </c>
      <c r="I18" s="140" t="e">
        <f>E18-H18</f>
        <v>#REF!</v>
      </c>
      <c r="J18" s="105" t="s">
        <v>108</v>
      </c>
      <c r="K18" s="151"/>
      <c r="L18" s="58"/>
    </row>
    <row r="19" spans="1:12" ht="25.5" customHeight="1" thickBot="1">
      <c r="A19" s="36"/>
      <c r="B19" s="72" t="s">
        <v>93</v>
      </c>
      <c r="C19" s="133">
        <v>74717696</v>
      </c>
      <c r="D19" s="134">
        <v>74722424</v>
      </c>
      <c r="E19" s="144">
        <f>C19-D19</f>
        <v>-4728</v>
      </c>
      <c r="F19" s="133">
        <f>Share_Cost_Mkt!K97</f>
        <v>20269611.75</v>
      </c>
      <c r="G19" s="133">
        <f>Share_Cost_Mkt!L97</f>
        <v>20268813.75</v>
      </c>
      <c r="H19" s="145">
        <f>F19-G19</f>
        <v>798</v>
      </c>
      <c r="I19" s="140">
        <f>E19-H19</f>
        <v>-5526</v>
      </c>
      <c r="J19" s="105" t="s">
        <v>108</v>
      </c>
      <c r="K19" s="151"/>
      <c r="L19" s="58"/>
    </row>
    <row r="20" spans="1:12" ht="19.5" customHeight="1">
      <c r="A20" s="13"/>
      <c r="B20" s="13"/>
      <c r="C20" s="87"/>
      <c r="D20" s="43"/>
      <c r="E20" s="94"/>
      <c r="F20" s="102"/>
      <c r="G20" s="43"/>
      <c r="H20" s="94"/>
      <c r="I20" s="111"/>
      <c r="J20" s="37"/>
      <c r="K20" s="52"/>
      <c r="L20" s="34"/>
    </row>
    <row r="21" spans="1:12" ht="18.75" customHeight="1" thickBot="1">
      <c r="A21" s="35" t="s">
        <v>94</v>
      </c>
      <c r="B21" s="13"/>
      <c r="C21" s="85"/>
      <c r="D21" s="33"/>
      <c r="E21" s="95"/>
      <c r="F21" s="103"/>
      <c r="G21" s="33"/>
      <c r="H21" s="86"/>
      <c r="I21" s="109"/>
      <c r="J21" s="37"/>
      <c r="K21" s="52"/>
      <c r="L21" s="34"/>
    </row>
    <row r="22" spans="1:12" ht="25.5" customHeight="1">
      <c r="A22" s="36"/>
      <c r="B22" s="73" t="s">
        <v>95</v>
      </c>
      <c r="C22" s="121">
        <v>861881</v>
      </c>
      <c r="D22" s="119">
        <v>843842</v>
      </c>
      <c r="E22" s="145">
        <f t="shared" ref="E22:E29" si="0">C22-D22</f>
        <v>18039</v>
      </c>
      <c r="F22" s="121">
        <f>Open_Trades!D45+Open_Trades!J45</f>
        <v>0</v>
      </c>
      <c r="G22" s="121">
        <f>Open_Trades!E45+Open_Trades!K45</f>
        <v>0</v>
      </c>
      <c r="H22" s="145">
        <f t="shared" ref="H22:H28" si="1">F22-G22</f>
        <v>0</v>
      </c>
      <c r="I22" s="140">
        <f t="shared" ref="I22:I29" si="2">E22-H22</f>
        <v>18039</v>
      </c>
      <c r="J22" s="105" t="s">
        <v>96</v>
      </c>
      <c r="K22" s="146"/>
      <c r="L22" s="58"/>
    </row>
    <row r="23" spans="1:12" ht="25.5" customHeight="1">
      <c r="A23" s="36"/>
      <c r="B23" s="73" t="s">
        <v>36</v>
      </c>
      <c r="C23" s="90">
        <v>12963</v>
      </c>
      <c r="D23" s="42">
        <v>0</v>
      </c>
      <c r="E23" s="147">
        <f t="shared" si="0"/>
        <v>12963</v>
      </c>
      <c r="F23" s="90">
        <f>INT_BNI_SSC</f>
        <v>75.16</v>
      </c>
      <c r="G23" s="42">
        <v>0</v>
      </c>
      <c r="H23" s="147">
        <f t="shared" si="1"/>
        <v>75.16</v>
      </c>
      <c r="I23" s="112">
        <f t="shared" si="2"/>
        <v>12887.84</v>
      </c>
      <c r="J23" s="105" t="s">
        <v>36</v>
      </c>
      <c r="K23" s="151"/>
      <c r="L23" s="58"/>
    </row>
    <row r="24" spans="1:12" ht="27.75" customHeight="1">
      <c r="A24" s="36"/>
      <c r="B24" s="73" t="s">
        <v>26</v>
      </c>
      <c r="C24" s="92">
        <v>296355</v>
      </c>
      <c r="D24" s="60">
        <v>307510</v>
      </c>
      <c r="E24" s="93">
        <f t="shared" si="0"/>
        <v>-11155</v>
      </c>
      <c r="F24" s="92">
        <f>Dividends!L47</f>
        <v>12797.25</v>
      </c>
      <c r="G24" s="96">
        <f>Dividends!M47</f>
        <v>12797.25</v>
      </c>
      <c r="H24" s="91">
        <f t="shared" si="1"/>
        <v>0</v>
      </c>
      <c r="I24" s="110">
        <f t="shared" si="2"/>
        <v>-11155</v>
      </c>
      <c r="J24" s="105" t="s">
        <v>26</v>
      </c>
      <c r="K24" s="146" t="s">
        <v>192</v>
      </c>
      <c r="L24" s="58" t="s">
        <v>191</v>
      </c>
    </row>
    <row r="25" spans="1:12" ht="33.75" customHeight="1">
      <c r="A25" s="36"/>
      <c r="B25" s="73" t="s">
        <v>97</v>
      </c>
      <c r="C25" s="92">
        <v>51184</v>
      </c>
      <c r="D25" s="60">
        <v>51596</v>
      </c>
      <c r="E25" s="97">
        <f t="shared" si="0"/>
        <v>-412</v>
      </c>
      <c r="F25" s="92">
        <f>Tax_Reclaims!J24</f>
        <v>0</v>
      </c>
      <c r="G25" s="96">
        <f>Tax_Reclaims!M24</f>
        <v>0</v>
      </c>
      <c r="H25" s="97">
        <f t="shared" si="1"/>
        <v>0</v>
      </c>
      <c r="I25" s="110">
        <f t="shared" si="2"/>
        <v>-412</v>
      </c>
      <c r="J25" s="105" t="s">
        <v>31</v>
      </c>
      <c r="K25" s="146" t="s">
        <v>192</v>
      </c>
      <c r="L25" s="58" t="s">
        <v>191</v>
      </c>
    </row>
    <row r="26" spans="1:12" ht="28.5" hidden="1" customHeight="1">
      <c r="A26" s="36"/>
      <c r="B26" s="141" t="s">
        <v>98</v>
      </c>
      <c r="C26" s="92"/>
      <c r="D26" s="42"/>
      <c r="E26" s="93">
        <f t="shared" si="0"/>
        <v>0</v>
      </c>
      <c r="F26" s="92"/>
      <c r="G26" s="42"/>
      <c r="H26" s="93">
        <f t="shared" si="1"/>
        <v>0</v>
      </c>
      <c r="I26" s="113">
        <f t="shared" si="2"/>
        <v>0</v>
      </c>
      <c r="J26" s="105"/>
      <c r="K26" s="146"/>
      <c r="L26" s="58"/>
    </row>
    <row r="27" spans="1:12" ht="30.75" customHeight="1">
      <c r="A27" s="36"/>
      <c r="B27" s="73" t="s">
        <v>130</v>
      </c>
      <c r="C27" s="98">
        <v>-46391</v>
      </c>
      <c r="D27" s="148">
        <v>-4065</v>
      </c>
      <c r="E27" s="149">
        <f t="shared" si="0"/>
        <v>-42326</v>
      </c>
      <c r="F27" s="98">
        <f>Dividends!I47</f>
        <v>0</v>
      </c>
      <c r="G27" s="150">
        <f>Dividends!N47</f>
        <v>0</v>
      </c>
      <c r="H27" s="97">
        <f t="shared" si="1"/>
        <v>0</v>
      </c>
      <c r="I27" s="110">
        <f t="shared" si="2"/>
        <v>-42326</v>
      </c>
      <c r="J27" s="105" t="s">
        <v>26</v>
      </c>
      <c r="K27" s="68" t="s">
        <v>193</v>
      </c>
      <c r="L27" s="68" t="s">
        <v>194</v>
      </c>
    </row>
    <row r="28" spans="1:12" ht="25.5" customHeight="1">
      <c r="A28" s="36"/>
      <c r="B28" s="62" t="s">
        <v>188</v>
      </c>
      <c r="C28" s="158">
        <v>-5262.6</v>
      </c>
      <c r="D28" s="159">
        <v>0</v>
      </c>
      <c r="E28" s="99">
        <f t="shared" si="0"/>
        <v>-5262.6</v>
      </c>
      <c r="F28" s="98">
        <f>Dividends!K47</f>
        <v>0</v>
      </c>
      <c r="G28" s="160">
        <v>0</v>
      </c>
      <c r="H28" s="93">
        <f t="shared" si="1"/>
        <v>0</v>
      </c>
      <c r="I28" s="161"/>
      <c r="J28" s="105"/>
      <c r="K28" s="146"/>
      <c r="L28" s="68"/>
    </row>
    <row r="29" spans="1:12" ht="25.5" customHeight="1" thickBot="1">
      <c r="A29" s="36"/>
      <c r="B29" s="73" t="s">
        <v>134</v>
      </c>
      <c r="C29" s="123">
        <v>0</v>
      </c>
      <c r="D29" s="124">
        <f>'Pending_FX '!E54</f>
        <v>0</v>
      </c>
      <c r="E29" s="125">
        <f t="shared" si="0"/>
        <v>0</v>
      </c>
      <c r="F29" s="123"/>
      <c r="G29" s="124"/>
      <c r="H29" s="104">
        <f>C29-D29</f>
        <v>0</v>
      </c>
      <c r="I29" s="114">
        <f t="shared" si="2"/>
        <v>0</v>
      </c>
      <c r="J29" s="105"/>
      <c r="K29" s="51"/>
      <c r="L29" s="58"/>
    </row>
    <row r="30" spans="1:12" ht="19.5" customHeight="1">
      <c r="A30" s="13"/>
      <c r="B30" s="18" t="s">
        <v>100</v>
      </c>
      <c r="C30" s="87"/>
      <c r="D30" s="43"/>
      <c r="E30" s="94"/>
      <c r="F30" s="102"/>
      <c r="G30" s="43"/>
      <c r="H30" s="88"/>
      <c r="I30" s="111"/>
      <c r="J30" s="37"/>
      <c r="K30" s="52"/>
      <c r="L30" s="34"/>
    </row>
    <row r="31" spans="1:12" ht="18.75" customHeight="1" thickBot="1">
      <c r="A31" s="35" t="s">
        <v>101</v>
      </c>
      <c r="B31" s="13"/>
      <c r="C31" s="87"/>
      <c r="D31" s="43"/>
      <c r="E31" s="94"/>
      <c r="F31" s="102"/>
      <c r="G31" s="43"/>
      <c r="H31" s="88"/>
      <c r="I31" s="111"/>
      <c r="J31" s="38"/>
      <c r="K31" s="52"/>
      <c r="L31" s="34"/>
    </row>
    <row r="32" spans="1:12" ht="17.399999999999999">
      <c r="A32" s="36"/>
      <c r="B32" s="74" t="s">
        <v>102</v>
      </c>
      <c r="C32" s="121">
        <v>-614062</v>
      </c>
      <c r="D32" s="119">
        <v>-614061</v>
      </c>
      <c r="E32" s="145">
        <f t="shared" ref="E32:E38" si="3">C32-D32</f>
        <v>-1</v>
      </c>
      <c r="F32" s="121">
        <f>Open_Trades!D19</f>
        <v>0</v>
      </c>
      <c r="G32" s="121">
        <f>Open_Trades!E19</f>
        <v>0</v>
      </c>
      <c r="H32" s="145">
        <f t="shared" ref="H32:H41" si="4">F32-G32</f>
        <v>0</v>
      </c>
      <c r="I32" s="122">
        <f t="shared" ref="I32:I38" si="5">E32-H32</f>
        <v>-1</v>
      </c>
      <c r="J32" s="105" t="s">
        <v>96</v>
      </c>
      <c r="K32" s="51"/>
      <c r="L32" s="59"/>
    </row>
    <row r="33" spans="1:12" ht="18.75" hidden="1" customHeight="1">
      <c r="A33" s="36"/>
      <c r="B33" s="141" t="s">
        <v>103</v>
      </c>
      <c r="C33" s="96"/>
      <c r="D33" s="60"/>
      <c r="E33" s="97">
        <f t="shared" si="3"/>
        <v>0</v>
      </c>
      <c r="F33" s="96"/>
      <c r="G33" s="60"/>
      <c r="H33" s="91">
        <f t="shared" si="4"/>
        <v>0</v>
      </c>
      <c r="I33" s="112">
        <f t="shared" si="5"/>
        <v>0</v>
      </c>
      <c r="J33" s="105"/>
      <c r="K33" s="51"/>
      <c r="L33" s="59"/>
    </row>
    <row r="34" spans="1:12" ht="17.399999999999999">
      <c r="A34" s="36"/>
      <c r="B34" s="73" t="s">
        <v>135</v>
      </c>
      <c r="C34" s="90">
        <v>-2652</v>
      </c>
      <c r="D34" s="42">
        <v>-2417</v>
      </c>
      <c r="E34" s="147">
        <f t="shared" si="3"/>
        <v>-235</v>
      </c>
      <c r="F34" s="90">
        <f>'Pending_FX '!D55</f>
        <v>0</v>
      </c>
      <c r="G34" s="90">
        <f>'Pending_FX '!E55</f>
        <v>0</v>
      </c>
      <c r="H34" s="147">
        <f t="shared" si="4"/>
        <v>0</v>
      </c>
      <c r="I34" s="112">
        <f t="shared" si="5"/>
        <v>-235</v>
      </c>
      <c r="J34" s="105" t="s">
        <v>99</v>
      </c>
      <c r="K34" s="51"/>
      <c r="L34" s="59"/>
    </row>
    <row r="35" spans="1:12" ht="19.5" customHeight="1">
      <c r="A35" s="36"/>
      <c r="B35" s="73" t="s">
        <v>104</v>
      </c>
      <c r="C35" s="98"/>
      <c r="D35" s="41"/>
      <c r="E35" s="99">
        <f t="shared" si="3"/>
        <v>0</v>
      </c>
      <c r="F35" s="98"/>
      <c r="G35" s="41"/>
      <c r="H35" s="91">
        <f t="shared" si="4"/>
        <v>0</v>
      </c>
      <c r="I35" s="112">
        <f t="shared" si="5"/>
        <v>0</v>
      </c>
      <c r="J35" s="105"/>
      <c r="K35" s="53"/>
      <c r="L35" s="59"/>
    </row>
    <row r="36" spans="1:12" ht="19.5" customHeight="1">
      <c r="A36" s="36"/>
      <c r="B36" s="73" t="s">
        <v>131</v>
      </c>
      <c r="C36" s="164">
        <v>-3.53</v>
      </c>
      <c r="D36" s="61">
        <v>0</v>
      </c>
      <c r="E36" s="163">
        <f t="shared" si="3"/>
        <v>-3.53</v>
      </c>
      <c r="F36" s="164">
        <f>Cash!D18</f>
        <v>0</v>
      </c>
      <c r="G36" s="100">
        <f>Cash!D19</f>
        <v>0</v>
      </c>
      <c r="H36" s="165">
        <f t="shared" si="4"/>
        <v>0</v>
      </c>
      <c r="I36" s="110">
        <f t="shared" si="5"/>
        <v>-3.53</v>
      </c>
      <c r="J36" s="105"/>
      <c r="K36" s="146" t="s">
        <v>189</v>
      </c>
      <c r="L36" s="58" t="s">
        <v>191</v>
      </c>
    </row>
    <row r="37" spans="1:12" ht="19.5" customHeight="1">
      <c r="A37" s="36"/>
      <c r="B37" s="73" t="s">
        <v>132</v>
      </c>
      <c r="C37" s="162">
        <v>-2217.58</v>
      </c>
      <c r="D37" s="41"/>
      <c r="E37" s="99">
        <f t="shared" si="3"/>
        <v>-2217.58</v>
      </c>
      <c r="F37" s="157">
        <v>-2217.58</v>
      </c>
      <c r="G37" s="41"/>
      <c r="H37" s="91">
        <f t="shared" si="4"/>
        <v>-2217.58</v>
      </c>
      <c r="I37" s="112">
        <f t="shared" si="5"/>
        <v>0</v>
      </c>
      <c r="J37" s="105"/>
      <c r="K37" s="53"/>
      <c r="L37" s="59"/>
    </row>
    <row r="38" spans="1:12" ht="19.5" customHeight="1" thickBot="1">
      <c r="A38" s="36"/>
      <c r="B38" s="73" t="s">
        <v>105</v>
      </c>
      <c r="C38" s="123"/>
      <c r="D38" s="124"/>
      <c r="E38" s="125">
        <f t="shared" si="3"/>
        <v>0</v>
      </c>
      <c r="F38" s="123"/>
      <c r="G38" s="124"/>
      <c r="H38" s="104">
        <f t="shared" si="4"/>
        <v>0</v>
      </c>
      <c r="I38" s="114">
        <f t="shared" si="5"/>
        <v>0</v>
      </c>
      <c r="J38" s="105"/>
      <c r="K38" s="53"/>
      <c r="L38" s="59"/>
    </row>
    <row r="39" spans="1:12" ht="19.5" customHeight="1">
      <c r="A39" s="36"/>
      <c r="B39" s="75"/>
      <c r="C39" s="126"/>
      <c r="D39" s="127"/>
      <c r="E39" s="128"/>
      <c r="F39" s="126"/>
      <c r="G39" s="127"/>
      <c r="H39" s="129">
        <f t="shared" si="4"/>
        <v>0</v>
      </c>
      <c r="I39" s="130"/>
      <c r="J39" s="105"/>
      <c r="K39" s="53"/>
      <c r="L39" s="31"/>
    </row>
    <row r="40" spans="1:12" ht="19.5" customHeight="1">
      <c r="A40" s="13"/>
      <c r="B40" s="13"/>
      <c r="C40" s="87"/>
      <c r="D40" s="32"/>
      <c r="E40" s="88"/>
      <c r="F40" s="87"/>
      <c r="G40" s="32"/>
      <c r="H40" s="88">
        <f t="shared" si="4"/>
        <v>0</v>
      </c>
      <c r="I40" s="111"/>
      <c r="J40" s="37"/>
      <c r="K40" s="52"/>
      <c r="L40" s="34"/>
    </row>
    <row r="41" spans="1:12" ht="33.75" customHeight="1" thickBot="1">
      <c r="A41" s="36"/>
      <c r="B41" s="76" t="s">
        <v>106</v>
      </c>
      <c r="C41" s="116">
        <f>C14+C19+C22+C23+C24+C25+C26+C27+C29+C28+C32+C33+C34+C36+C37</f>
        <v>80378319.800000012</v>
      </c>
      <c r="D41" s="117">
        <f>D14+D19+D22+D23+D24+D25+D26+D27+D29+D32+D33+D34</f>
        <v>80413655</v>
      </c>
      <c r="E41" s="118">
        <f>C41-D41</f>
        <v>-35335.199999988079</v>
      </c>
      <c r="F41" s="116">
        <f>F14+F19+F22+F23+F24+F25+F26+F27+F29++F32+F33+F34+F36+F37</f>
        <v>21149875.07</v>
      </c>
      <c r="G41" s="117">
        <f>G14+G19+G22+G23+G24+G25+G26+G27+G29+G32+G33+G34</f>
        <v>21151219.5</v>
      </c>
      <c r="H41" s="118">
        <f t="shared" si="4"/>
        <v>-1344.429999999702</v>
      </c>
      <c r="I41" s="110">
        <f>D41-G41</f>
        <v>59262435.5</v>
      </c>
      <c r="J41" s="105"/>
      <c r="K41" s="146" t="s">
        <v>195</v>
      </c>
      <c r="L41" s="58" t="s">
        <v>191</v>
      </c>
    </row>
    <row r="42" spans="1:12" ht="20.25" customHeight="1">
      <c r="A42" s="36"/>
      <c r="B42" s="39" t="s">
        <v>107</v>
      </c>
      <c r="C42" s="166" t="s">
        <v>190</v>
      </c>
      <c r="D42" s="77"/>
      <c r="E42" s="101">
        <f>IF(ISERROR(E41/C41),0,E41/C41)</f>
        <v>-4.3961108030013928E-4</v>
      </c>
      <c r="F42" s="77"/>
      <c r="G42" s="77"/>
      <c r="H42" s="101">
        <f>IF(ISERROR(H41/F41),0,H41/F41)</f>
        <v>-6.3566805739987854E-5</v>
      </c>
      <c r="I42" s="101"/>
      <c r="J42" s="30"/>
      <c r="K42" s="53"/>
      <c r="L42" s="31"/>
    </row>
    <row r="43" spans="1:12" ht="13.8">
      <c r="A43" s="40"/>
      <c r="K43" s="54"/>
    </row>
    <row r="44" spans="1:12" ht="13.8">
      <c r="A44" s="40"/>
      <c r="C44" s="50"/>
      <c r="K44" s="54"/>
    </row>
    <row r="45" spans="1:12" ht="13.8">
      <c r="A45" s="40"/>
      <c r="K45" s="54"/>
    </row>
    <row r="46" spans="1:12" ht="13.8">
      <c r="A46" s="40"/>
      <c r="K46" s="54"/>
    </row>
    <row r="47" spans="1:12" ht="13.8">
      <c r="K47" s="54"/>
    </row>
    <row r="48" spans="1:12" ht="13.8">
      <c r="K48" s="54"/>
    </row>
    <row r="49" spans="11:11" ht="13.8">
      <c r="K49" s="54"/>
    </row>
    <row r="50" spans="11:11" ht="13.8">
      <c r="K50" s="54"/>
    </row>
  </sheetData>
  <phoneticPr fontId="0" type="noConversion"/>
  <pageMargins left="0.1" right="0.1" top="0.25" bottom="0.25" header="0.25" footer="0.25"/>
  <pageSetup scale="50"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75"/>
  <sheetViews>
    <sheetView showGridLines="0" zoomScaleNormal="100" workbookViewId="0">
      <selection activeCell="H74" sqref="H74"/>
    </sheetView>
  </sheetViews>
  <sheetFormatPr defaultColWidth="9.109375" defaultRowHeight="13.2"/>
  <cols>
    <col min="1" max="1" width="6.6640625" style="174" customWidth="1"/>
    <col min="2" max="16384" width="9.109375" style="174"/>
  </cols>
  <sheetData>
    <row r="1" spans="1:17">
      <c r="A1" s="173" t="s">
        <v>243</v>
      </c>
    </row>
    <row r="2" spans="1:17">
      <c r="A2" s="173" t="s">
        <v>203</v>
      </c>
    </row>
    <row r="3" spans="1:17">
      <c r="A3" s="173"/>
    </row>
    <row r="4" spans="1:17">
      <c r="B4" s="175" t="s">
        <v>204</v>
      </c>
      <c r="C4" s="176"/>
      <c r="D4" s="176"/>
    </row>
    <row r="5" spans="1:17" ht="12.75" customHeight="1">
      <c r="B5" s="498" t="s">
        <v>242</v>
      </c>
      <c r="C5" s="498"/>
      <c r="D5" s="498"/>
      <c r="E5" s="498"/>
      <c r="F5" s="498"/>
      <c r="G5" s="498"/>
      <c r="H5" s="498"/>
      <c r="I5" s="498"/>
      <c r="J5" s="498"/>
      <c r="K5" s="498"/>
      <c r="L5" s="498"/>
      <c r="M5" s="498"/>
      <c r="N5" s="498"/>
      <c r="O5" s="498"/>
      <c r="P5" s="498"/>
    </row>
    <row r="6" spans="1:17">
      <c r="B6" s="498"/>
      <c r="C6" s="498"/>
      <c r="D6" s="498"/>
      <c r="E6" s="498"/>
      <c r="F6" s="498"/>
      <c r="G6" s="498"/>
      <c r="H6" s="498"/>
      <c r="I6" s="498"/>
      <c r="J6" s="498"/>
      <c r="K6" s="498"/>
      <c r="L6" s="498"/>
      <c r="M6" s="498"/>
      <c r="N6" s="498"/>
      <c r="O6" s="498"/>
      <c r="P6" s="498"/>
    </row>
    <row r="7" spans="1:17">
      <c r="B7" s="498"/>
      <c r="C7" s="498"/>
      <c r="D7" s="498"/>
      <c r="E7" s="498"/>
      <c r="F7" s="498"/>
      <c r="G7" s="498"/>
      <c r="H7" s="498"/>
      <c r="I7" s="498"/>
      <c r="J7" s="498"/>
      <c r="K7" s="498"/>
      <c r="L7" s="498"/>
      <c r="M7" s="498"/>
      <c r="N7" s="498"/>
      <c r="O7" s="498"/>
      <c r="P7" s="498"/>
    </row>
    <row r="8" spans="1:17" ht="12.75" customHeight="1">
      <c r="B8" s="490"/>
      <c r="C8" s="490"/>
      <c r="D8" s="490"/>
      <c r="E8" s="490"/>
      <c r="F8" s="490"/>
      <c r="G8" s="490"/>
      <c r="H8" s="490"/>
      <c r="I8" s="490"/>
      <c r="J8" s="490"/>
      <c r="K8" s="490"/>
      <c r="L8" s="490"/>
      <c r="M8" s="490"/>
      <c r="N8" s="490"/>
      <c r="O8" s="490"/>
      <c r="P8" s="490"/>
    </row>
    <row r="9" spans="1:17" ht="15" customHeight="1">
      <c r="B9" s="499" t="s">
        <v>252</v>
      </c>
      <c r="C9" s="499"/>
      <c r="D9" s="499"/>
      <c r="E9" s="499"/>
      <c r="F9" s="499"/>
      <c r="G9" s="499"/>
      <c r="H9" s="499"/>
      <c r="I9" s="499"/>
      <c r="J9" s="499"/>
      <c r="K9" s="499"/>
      <c r="L9" s="499"/>
      <c r="M9" s="499"/>
      <c r="N9" s="499"/>
      <c r="O9" s="499"/>
      <c r="P9" s="499"/>
      <c r="Q9" s="499"/>
    </row>
    <row r="10" spans="1:17" ht="15" customHeight="1">
      <c r="B10" s="499"/>
      <c r="C10" s="499"/>
      <c r="D10" s="499"/>
      <c r="E10" s="499"/>
      <c r="F10" s="499"/>
      <c r="G10" s="499"/>
      <c r="H10" s="499"/>
      <c r="I10" s="499"/>
      <c r="J10" s="499"/>
      <c r="K10" s="499"/>
      <c r="L10" s="499"/>
      <c r="M10" s="499"/>
      <c r="N10" s="499"/>
      <c r="O10" s="499"/>
      <c r="P10" s="499"/>
      <c r="Q10" s="499"/>
    </row>
    <row r="11" spans="1:17" ht="15" customHeight="1">
      <c r="B11" s="174" t="s">
        <v>245</v>
      </c>
      <c r="C11" s="491"/>
      <c r="D11" s="491"/>
      <c r="E11" s="491"/>
      <c r="F11" s="491"/>
      <c r="G11" s="491"/>
      <c r="H11" s="491"/>
      <c r="I11" s="491"/>
      <c r="J11" s="491"/>
      <c r="K11" s="491"/>
      <c r="L11" s="491"/>
      <c r="M11" s="491"/>
      <c r="N11" s="491"/>
      <c r="O11" s="491"/>
      <c r="P11" s="491"/>
    </row>
    <row r="12" spans="1:17" ht="13.5" customHeight="1">
      <c r="C12" s="490"/>
      <c r="D12" s="490"/>
      <c r="E12" s="490"/>
      <c r="F12" s="490"/>
      <c r="G12" s="490"/>
      <c r="H12" s="490"/>
      <c r="I12" s="490"/>
      <c r="J12" s="490"/>
      <c r="K12" s="490"/>
      <c r="L12" s="490"/>
      <c r="M12" s="490"/>
      <c r="N12" s="490"/>
      <c r="O12" s="490"/>
      <c r="P12" s="490"/>
    </row>
    <row r="13" spans="1:17" ht="14.4">
      <c r="B13" s="174" t="s">
        <v>255</v>
      </c>
      <c r="C13" s="490"/>
      <c r="D13" s="490"/>
      <c r="E13" s="490"/>
      <c r="F13" s="490"/>
      <c r="G13" s="490"/>
      <c r="H13" s="490"/>
      <c r="I13" s="490"/>
      <c r="J13" s="490"/>
      <c r="K13" s="490"/>
      <c r="L13" s="490"/>
      <c r="M13" s="490"/>
      <c r="N13" s="490"/>
      <c r="O13" s="490"/>
      <c r="P13" s="490"/>
    </row>
    <row r="14" spans="1:17" ht="14.4">
      <c r="B14" s="174" t="s">
        <v>254</v>
      </c>
      <c r="C14" s="490"/>
      <c r="D14" s="490"/>
      <c r="E14" s="490"/>
      <c r="F14" s="490"/>
      <c r="G14" s="490"/>
      <c r="H14" s="490"/>
      <c r="I14" s="490"/>
      <c r="J14" s="490"/>
      <c r="K14" s="490"/>
      <c r="L14" s="490"/>
      <c r="M14" s="490"/>
      <c r="N14" s="490"/>
      <c r="O14" s="490"/>
      <c r="P14" s="490"/>
    </row>
    <row r="15" spans="1:17" ht="14.4">
      <c r="B15" s="174" t="s">
        <v>253</v>
      </c>
      <c r="C15" s="490"/>
      <c r="D15" s="490"/>
      <c r="E15" s="490"/>
      <c r="F15" s="490"/>
      <c r="G15" s="490"/>
      <c r="H15" s="490"/>
      <c r="I15" s="490"/>
      <c r="J15" s="490"/>
      <c r="K15" s="490"/>
      <c r="L15" s="490"/>
      <c r="M15" s="490"/>
      <c r="N15" s="490"/>
      <c r="O15" s="490"/>
      <c r="P15" s="490"/>
    </row>
    <row r="16" spans="1:17">
      <c r="C16" s="173"/>
    </row>
    <row r="17" spans="2:19">
      <c r="B17" s="497" t="s">
        <v>258</v>
      </c>
      <c r="C17" s="497"/>
      <c r="D17" s="497"/>
      <c r="E17" s="497"/>
      <c r="F17" s="497"/>
      <c r="G17" s="497"/>
      <c r="H17" s="497"/>
      <c r="I17" s="497"/>
      <c r="J17" s="497"/>
      <c r="K17" s="497"/>
      <c r="L17" s="497"/>
      <c r="M17" s="497"/>
      <c r="N17" s="497"/>
      <c r="O17" s="497"/>
      <c r="P17" s="497"/>
      <c r="Q17" s="497"/>
      <c r="R17" s="497"/>
      <c r="S17" s="497"/>
    </row>
    <row r="18" spans="2:19">
      <c r="B18" s="497"/>
      <c r="C18" s="497"/>
      <c r="D18" s="497"/>
      <c r="E18" s="497"/>
      <c r="F18" s="497"/>
      <c r="G18" s="497"/>
      <c r="H18" s="497"/>
      <c r="I18" s="497"/>
      <c r="J18" s="497"/>
      <c r="K18" s="497"/>
      <c r="L18" s="497"/>
      <c r="M18" s="497"/>
      <c r="N18" s="497"/>
      <c r="O18" s="497"/>
      <c r="P18" s="497"/>
      <c r="Q18" s="497"/>
      <c r="R18" s="497"/>
      <c r="S18" s="497"/>
    </row>
    <row r="19" spans="2:19">
      <c r="B19" s="174" t="s">
        <v>244</v>
      </c>
      <c r="C19" s="173"/>
    </row>
    <row r="20" spans="2:19">
      <c r="B20" s="174" t="s">
        <v>246</v>
      </c>
      <c r="C20" s="173"/>
    </row>
    <row r="21" spans="2:19">
      <c r="C21" s="173"/>
    </row>
    <row r="22" spans="2:19">
      <c r="B22" s="174" t="s">
        <v>247</v>
      </c>
      <c r="C22" s="173"/>
    </row>
    <row r="23" spans="2:19">
      <c r="B23" s="174" t="s">
        <v>248</v>
      </c>
      <c r="C23" s="173"/>
    </row>
    <row r="24" spans="2:19">
      <c r="B24" s="174" t="s">
        <v>205</v>
      </c>
      <c r="C24" s="173"/>
    </row>
    <row r="26" spans="2:19">
      <c r="B26" s="175" t="s">
        <v>206</v>
      </c>
    </row>
    <row r="27" spans="2:19">
      <c r="B27" s="174" t="s">
        <v>207</v>
      </c>
    </row>
    <row r="28" spans="2:19">
      <c r="B28" s="177" t="s">
        <v>249</v>
      </c>
    </row>
    <row r="29" spans="2:19">
      <c r="B29" s="177" t="s">
        <v>208</v>
      </c>
    </row>
    <row r="30" spans="2:19">
      <c r="B30" s="177" t="s">
        <v>20</v>
      </c>
    </row>
    <row r="31" spans="2:19">
      <c r="B31" s="177" t="s">
        <v>209</v>
      </c>
    </row>
    <row r="32" spans="2:19">
      <c r="B32" s="177" t="s">
        <v>26</v>
      </c>
    </row>
    <row r="33" spans="1:14">
      <c r="B33" s="177" t="s">
        <v>31</v>
      </c>
    </row>
    <row r="34" spans="1:14">
      <c r="B34" s="177" t="s">
        <v>36</v>
      </c>
    </row>
    <row r="35" spans="1:14">
      <c r="B35" s="177" t="s">
        <v>96</v>
      </c>
    </row>
    <row r="36" spans="1:14">
      <c r="B36" s="177" t="s">
        <v>210</v>
      </c>
    </row>
    <row r="37" spans="1:14">
      <c r="C37" s="173"/>
    </row>
    <row r="38" spans="1:14">
      <c r="B38" s="175" t="s">
        <v>211</v>
      </c>
      <c r="C38" s="175"/>
    </row>
    <row r="39" spans="1:14">
      <c r="A39" s="178"/>
      <c r="B39" s="174" t="s">
        <v>212</v>
      </c>
      <c r="C39" s="173"/>
      <c r="D39" s="178"/>
      <c r="E39" s="178"/>
      <c r="F39" s="178"/>
      <c r="G39" s="178"/>
      <c r="H39" s="178"/>
      <c r="I39" s="178"/>
      <c r="J39" s="178"/>
      <c r="K39" s="178"/>
      <c r="L39" s="178"/>
      <c r="M39" s="178"/>
      <c r="N39" s="178"/>
    </row>
    <row r="40" spans="1:14">
      <c r="A40" s="178"/>
      <c r="B40" s="174" t="s">
        <v>213</v>
      </c>
      <c r="C40" s="173"/>
      <c r="D40" s="178"/>
      <c r="E40" s="178"/>
      <c r="F40" s="178"/>
      <c r="G40" s="178"/>
      <c r="H40" s="178"/>
      <c r="I40" s="178"/>
      <c r="J40" s="178"/>
      <c r="K40" s="178"/>
      <c r="L40" s="178"/>
      <c r="M40" s="178"/>
      <c r="N40" s="178"/>
    </row>
    <row r="41" spans="1:14">
      <c r="A41" s="178"/>
      <c r="B41" s="174" t="s">
        <v>214</v>
      </c>
      <c r="D41" s="178"/>
      <c r="E41" s="178"/>
      <c r="F41" s="178"/>
      <c r="G41" s="178"/>
      <c r="H41" s="178"/>
      <c r="I41" s="178"/>
      <c r="J41" s="178"/>
      <c r="K41" s="178"/>
      <c r="L41" s="178"/>
      <c r="M41" s="178"/>
      <c r="N41" s="178"/>
    </row>
    <row r="42" spans="1:14">
      <c r="A42" s="178"/>
      <c r="B42" s="174" t="s">
        <v>215</v>
      </c>
      <c r="D42" s="178"/>
      <c r="E42" s="178"/>
      <c r="F42" s="178"/>
      <c r="G42" s="178"/>
      <c r="H42" s="178"/>
      <c r="I42" s="178"/>
      <c r="J42" s="178"/>
      <c r="K42" s="178"/>
      <c r="L42" s="178"/>
      <c r="M42" s="178"/>
      <c r="N42" s="178"/>
    </row>
    <row r="43" spans="1:14">
      <c r="A43" s="178"/>
      <c r="B43" s="174" t="s">
        <v>216</v>
      </c>
      <c r="D43" s="178"/>
      <c r="E43" s="178"/>
      <c r="F43" s="178"/>
      <c r="G43" s="178"/>
      <c r="H43" s="178"/>
      <c r="I43" s="178"/>
      <c r="J43" s="178"/>
      <c r="K43" s="178"/>
      <c r="L43" s="178"/>
      <c r="M43" s="178"/>
      <c r="N43" s="178"/>
    </row>
    <row r="45" spans="1:14">
      <c r="B45" s="175" t="s">
        <v>217</v>
      </c>
    </row>
    <row r="46" spans="1:14">
      <c r="B46" s="179" t="s">
        <v>218</v>
      </c>
    </row>
    <row r="47" spans="1:14">
      <c r="B47" s="180"/>
      <c r="C47" s="180"/>
      <c r="D47" s="180"/>
      <c r="E47" s="180"/>
    </row>
    <row r="48" spans="1:14">
      <c r="B48" s="180"/>
      <c r="C48" s="180"/>
      <c r="D48" s="180"/>
      <c r="E48" s="180"/>
    </row>
    <row r="49" spans="2:14">
      <c r="B49" s="180"/>
      <c r="C49" s="180"/>
      <c r="D49" s="180"/>
      <c r="E49" s="180"/>
    </row>
    <row r="50" spans="2:14">
      <c r="B50" s="180"/>
      <c r="C50" s="181"/>
      <c r="D50" s="180"/>
      <c r="E50" s="180"/>
    </row>
    <row r="51" spans="2:14">
      <c r="C51" s="173"/>
    </row>
    <row r="52" spans="2:14">
      <c r="B52" s="175" t="s">
        <v>219</v>
      </c>
    </row>
    <row r="53" spans="2:14">
      <c r="B53" s="174" t="s">
        <v>220</v>
      </c>
      <c r="C53" s="176"/>
    </row>
    <row r="54" spans="2:14">
      <c r="B54" s="174" t="s">
        <v>221</v>
      </c>
    </row>
    <row r="55" spans="2:14">
      <c r="B55" s="182" t="s">
        <v>222</v>
      </c>
      <c r="C55" s="182"/>
      <c r="D55" s="182"/>
      <c r="E55" s="182"/>
      <c r="F55" s="182"/>
      <c r="G55" s="182"/>
      <c r="H55" s="182"/>
      <c r="I55" s="182"/>
      <c r="J55" s="182"/>
      <c r="K55" s="182"/>
      <c r="L55" s="182"/>
    </row>
    <row r="56" spans="2:14">
      <c r="B56" s="182" t="s">
        <v>223</v>
      </c>
      <c r="C56" s="182"/>
      <c r="D56" s="182"/>
      <c r="E56" s="182"/>
      <c r="F56" s="182"/>
      <c r="G56" s="182"/>
      <c r="H56" s="182"/>
      <c r="I56" s="182"/>
      <c r="J56" s="182"/>
      <c r="K56" s="182"/>
      <c r="L56" s="182"/>
    </row>
    <row r="58" spans="2:14">
      <c r="B58" s="175" t="s">
        <v>224</v>
      </c>
    </row>
    <row r="59" spans="2:14">
      <c r="B59" s="183" t="s">
        <v>225</v>
      </c>
      <c r="C59" s="183"/>
      <c r="D59" s="183"/>
      <c r="E59" s="183"/>
      <c r="F59" s="183"/>
      <c r="G59" s="183"/>
      <c r="H59" s="183"/>
      <c r="I59" s="183"/>
      <c r="J59" s="183"/>
      <c r="K59" s="183"/>
      <c r="L59" s="183"/>
      <c r="M59" s="183"/>
      <c r="N59" s="183"/>
    </row>
    <row r="60" spans="2:14">
      <c r="B60" s="183" t="s">
        <v>259</v>
      </c>
      <c r="C60" s="183"/>
      <c r="D60" s="183"/>
      <c r="E60" s="183"/>
      <c r="F60" s="183"/>
      <c r="G60" s="183"/>
      <c r="H60" s="183"/>
      <c r="I60" s="183"/>
      <c r="J60" s="183"/>
      <c r="K60" s="183"/>
      <c r="L60" s="183"/>
      <c r="M60" s="183"/>
      <c r="N60" s="183"/>
    </row>
    <row r="61" spans="2:14">
      <c r="B61" s="174" t="s">
        <v>226</v>
      </c>
    </row>
    <row r="63" spans="2:14">
      <c r="B63" s="175" t="s">
        <v>227</v>
      </c>
    </row>
    <row r="64" spans="2:14">
      <c r="B64" s="174" t="s">
        <v>230</v>
      </c>
      <c r="D64" s="174" t="s">
        <v>231</v>
      </c>
      <c r="F64" s="184" t="s">
        <v>232</v>
      </c>
    </row>
    <row r="65" spans="2:6">
      <c r="B65" s="174" t="s">
        <v>239</v>
      </c>
      <c r="F65" s="184" t="s">
        <v>238</v>
      </c>
    </row>
    <row r="66" spans="2:6">
      <c r="F66" s="184"/>
    </row>
    <row r="67" spans="2:6">
      <c r="B67" s="175" t="s">
        <v>260</v>
      </c>
    </row>
    <row r="68" spans="2:6">
      <c r="B68" s="174" t="s">
        <v>261</v>
      </c>
      <c r="D68" s="174" t="s">
        <v>262</v>
      </c>
      <c r="F68" s="184" t="s">
        <v>263</v>
      </c>
    </row>
    <row r="69" spans="2:6">
      <c r="B69" s="174" t="s">
        <v>239</v>
      </c>
      <c r="F69" s="184" t="s">
        <v>264</v>
      </c>
    </row>
    <row r="70" spans="2:6">
      <c r="F70" s="184"/>
    </row>
    <row r="71" spans="2:6">
      <c r="B71" s="175" t="s">
        <v>228</v>
      </c>
    </row>
    <row r="72" spans="2:6">
      <c r="F72" s="184"/>
    </row>
    <row r="73" spans="2:6">
      <c r="B73" s="174" t="s">
        <v>250</v>
      </c>
      <c r="F73" s="184"/>
    </row>
    <row r="75" spans="2:6">
      <c r="B75" s="174" t="s">
        <v>251</v>
      </c>
    </row>
  </sheetData>
  <mergeCells count="3">
    <mergeCell ref="B17:S18"/>
    <mergeCell ref="B5:P7"/>
    <mergeCell ref="B9:Q10"/>
  </mergeCells>
  <phoneticPr fontId="0" type="noConversion"/>
  <hyperlinks>
    <hyperlink ref="F64" r:id="rId1"/>
    <hyperlink ref="F65" r:id="rId2"/>
    <hyperlink ref="F68" r:id="rId3"/>
    <hyperlink ref="F69" r:id="rId4"/>
  </hyperlinks>
  <pageMargins left="0.75" right="0.75" top="1" bottom="1" header="0.5" footer="0.5"/>
  <pageSetup scale="53" orientation="portrait" r:id="rId5"/>
  <headerFooter alignWithMargins="0">
    <oddFooter>&amp;A</oddFooter>
  </headerFooter>
</worksheet>
</file>

<file path=xl/worksheets/sheet5.xml><?xml version="1.0" encoding="utf-8"?>
<worksheet xmlns="http://schemas.openxmlformats.org/spreadsheetml/2006/main" xmlns:r="http://schemas.openxmlformats.org/officeDocument/2006/relationships">
  <sheetPr codeName="Sheet3">
    <pageSetUpPr fitToPage="1"/>
  </sheetPr>
  <dimension ref="A1:I46"/>
  <sheetViews>
    <sheetView tabSelected="1" zoomScale="70" zoomScaleNormal="70" workbookViewId="0">
      <pane ySplit="10" topLeftCell="A11" activePane="bottomLeft" state="frozen"/>
      <selection activeCell="G22" sqref="G22"/>
      <selection pane="bottomLeft" activeCell="K19" sqref="K19"/>
    </sheetView>
  </sheetViews>
  <sheetFormatPr defaultColWidth="9.109375" defaultRowHeight="15"/>
  <cols>
    <col min="1" max="1" width="2.6640625" style="186" customWidth="1"/>
    <col min="2" max="2" width="41.6640625" style="186" customWidth="1"/>
    <col min="3" max="3" width="17.33203125" style="186" customWidth="1"/>
    <col min="4" max="4" width="19.33203125" style="186" customWidth="1"/>
    <col min="5" max="6" width="21.5546875" style="186" customWidth="1"/>
    <col min="7" max="7" width="17.88671875" style="186" bestFit="1" customWidth="1"/>
    <col min="8" max="8" width="65.109375" style="186" customWidth="1"/>
    <col min="9" max="9" width="46.5546875" style="186" customWidth="1"/>
    <col min="10" max="16384" width="9.109375" style="187"/>
  </cols>
  <sheetData>
    <row r="1" spans="1:9" ht="19.5" customHeight="1">
      <c r="A1" s="185" t="s">
        <v>75</v>
      </c>
    </row>
    <row r="2" spans="1:9" ht="19.5" customHeight="1">
      <c r="A2" s="185" t="s">
        <v>237</v>
      </c>
      <c r="C2" s="186" t="s">
        <v>265</v>
      </c>
      <c r="G2" s="188" t="s">
        <v>77</v>
      </c>
      <c r="H2" s="189" t="s">
        <v>266</v>
      </c>
      <c r="I2" s="190"/>
    </row>
    <row r="3" spans="1:9" ht="19.5" customHeight="1">
      <c r="A3" s="191" t="s">
        <v>236</v>
      </c>
      <c r="B3" s="192"/>
      <c r="C3" s="193">
        <v>42155</v>
      </c>
      <c r="G3" s="188" t="s">
        <v>78</v>
      </c>
      <c r="H3" s="189"/>
    </row>
    <row r="4" spans="1:9" ht="19.5" customHeight="1">
      <c r="A4" s="194" t="s">
        <v>109</v>
      </c>
      <c r="B4" s="195"/>
      <c r="C4" s="20" t="s">
        <v>267</v>
      </c>
      <c r="G4" s="188" t="s">
        <v>79</v>
      </c>
      <c r="H4" s="189" t="s">
        <v>268</v>
      </c>
    </row>
    <row r="5" spans="1:9" ht="19.5" customHeight="1">
      <c r="A5" s="192" t="s">
        <v>80</v>
      </c>
      <c r="B5" s="192"/>
      <c r="C5" s="196"/>
      <c r="G5" s="188" t="s">
        <v>81</v>
      </c>
      <c r="H5" s="189" t="s">
        <v>269</v>
      </c>
      <c r="I5" s="188"/>
    </row>
    <row r="6" spans="1:9" ht="19.5" customHeight="1">
      <c r="D6" s="197"/>
      <c r="G6" s="188"/>
      <c r="H6" s="190"/>
    </row>
    <row r="7" spans="1:9">
      <c r="G7" s="188"/>
      <c r="H7" s="198"/>
      <c r="I7" s="190"/>
    </row>
    <row r="8" spans="1:9">
      <c r="A8" s="190"/>
      <c r="B8" s="190"/>
      <c r="C8" s="190"/>
      <c r="D8" s="190"/>
      <c r="E8" s="190"/>
      <c r="F8" s="190"/>
      <c r="G8" s="190"/>
      <c r="H8" s="190"/>
      <c r="I8" s="190"/>
    </row>
    <row r="9" spans="1:9" ht="15.6">
      <c r="A9" s="199"/>
      <c r="B9" s="199"/>
      <c r="C9" s="200" t="s">
        <v>82</v>
      </c>
      <c r="D9" s="200" t="s">
        <v>82</v>
      </c>
      <c r="E9" s="200"/>
      <c r="F9" s="200" t="s">
        <v>240</v>
      </c>
      <c r="G9" s="200" t="s">
        <v>83</v>
      </c>
      <c r="H9" s="200" t="s">
        <v>84</v>
      </c>
      <c r="I9" s="200" t="s">
        <v>80</v>
      </c>
    </row>
    <row r="10" spans="1:9" ht="15.6">
      <c r="A10" s="190"/>
      <c r="B10" s="199"/>
      <c r="C10" s="200" t="s">
        <v>85</v>
      </c>
      <c r="D10" s="200" t="s">
        <v>84</v>
      </c>
      <c r="E10" s="200" t="s">
        <v>53</v>
      </c>
      <c r="F10" s="200" t="s">
        <v>241</v>
      </c>
      <c r="G10" s="200" t="s">
        <v>86</v>
      </c>
      <c r="H10" s="200" t="s">
        <v>83</v>
      </c>
      <c r="I10" s="200" t="s">
        <v>87</v>
      </c>
    </row>
    <row r="11" spans="1:9" ht="15.6">
      <c r="A11" s="190"/>
      <c r="B11" s="199"/>
      <c r="C11" s="199"/>
      <c r="D11" s="199"/>
      <c r="E11" s="199"/>
      <c r="F11" s="199"/>
      <c r="G11" s="199"/>
      <c r="H11" s="199"/>
      <c r="I11" s="199" t="s">
        <v>80</v>
      </c>
    </row>
    <row r="12" spans="1:9" ht="15.6">
      <c r="A12" s="190"/>
      <c r="B12" s="18" t="s">
        <v>88</v>
      </c>
      <c r="C12" s="199"/>
      <c r="D12" s="199"/>
      <c r="E12" s="199"/>
      <c r="F12" s="199"/>
      <c r="G12" s="199"/>
      <c r="H12" s="199"/>
      <c r="I12" s="199"/>
    </row>
    <row r="13" spans="1:9" ht="19.5" customHeight="1">
      <c r="A13" s="201" t="s">
        <v>89</v>
      </c>
      <c r="B13" s="190"/>
      <c r="C13" s="190"/>
      <c r="D13" s="190"/>
      <c r="E13" s="190"/>
      <c r="F13" s="190"/>
      <c r="G13" s="190"/>
      <c r="H13" s="190"/>
      <c r="I13" s="190"/>
    </row>
    <row r="14" spans="1:9" ht="15.6">
      <c r="A14" s="202"/>
      <c r="B14" s="202" t="s">
        <v>173</v>
      </c>
      <c r="C14" s="203">
        <f>Cash!F15-Cash!K15</f>
        <v>869608.49</v>
      </c>
      <c r="D14" s="203">
        <f>Cash!G15-Cash!L15</f>
        <v>869608.5</v>
      </c>
      <c r="E14" s="204">
        <f>C14-D14</f>
        <v>-1.0000000009313226E-2</v>
      </c>
      <c r="F14" s="204"/>
      <c r="G14" s="205" t="s">
        <v>117</v>
      </c>
      <c r="H14" s="206"/>
      <c r="I14" s="68"/>
    </row>
    <row r="15" spans="1:9" ht="19.5" customHeight="1">
      <c r="A15" s="190"/>
      <c r="B15" s="190"/>
      <c r="C15" s="207"/>
      <c r="D15" s="208"/>
      <c r="E15" s="207"/>
      <c r="F15" s="207"/>
      <c r="G15" s="209"/>
      <c r="H15" s="210"/>
      <c r="I15" s="211"/>
    </row>
    <row r="16" spans="1:9" ht="19.5" customHeight="1">
      <c r="A16" s="212" t="s">
        <v>90</v>
      </c>
      <c r="B16" s="190"/>
      <c r="C16" s="213"/>
      <c r="D16" s="208"/>
      <c r="E16" s="207"/>
      <c r="F16" s="207"/>
      <c r="G16" s="209"/>
      <c r="H16" s="210"/>
      <c r="I16" s="211"/>
    </row>
    <row r="17" spans="1:9" ht="15.6">
      <c r="A17" s="214"/>
      <c r="B17" s="202" t="s">
        <v>91</v>
      </c>
      <c r="C17" s="204">
        <f>Share_Cost_Mkt!C97</f>
        <v>659625</v>
      </c>
      <c r="D17" s="215">
        <f>Share_Cost_Mkt!D97</f>
        <v>659625</v>
      </c>
      <c r="E17" s="204">
        <f>C17-D17</f>
        <v>0</v>
      </c>
      <c r="F17" s="204"/>
      <c r="G17" s="205" t="s">
        <v>108</v>
      </c>
      <c r="H17" s="206"/>
      <c r="I17" s="216"/>
    </row>
    <row r="18" spans="1:9" ht="15.6">
      <c r="A18" s="214"/>
      <c r="B18" s="217" t="s">
        <v>92</v>
      </c>
      <c r="C18" s="204">
        <f>Share_Cost_Mkt!F97</f>
        <v>16431240.990000004</v>
      </c>
      <c r="D18" s="204">
        <f>Share_Cost_Mkt!G97</f>
        <v>16470504.040000001</v>
      </c>
      <c r="E18" s="204">
        <f>C18-D18</f>
        <v>-39263.04999999702</v>
      </c>
      <c r="F18" s="204"/>
      <c r="G18" s="205" t="s">
        <v>108</v>
      </c>
      <c r="H18" s="206"/>
      <c r="I18" s="218"/>
    </row>
    <row r="19" spans="1:9" ht="79.95" customHeight="1">
      <c r="A19" s="214"/>
      <c r="B19" s="217" t="s">
        <v>93</v>
      </c>
      <c r="C19" s="204">
        <f>Share_Cost_Mkt!K97</f>
        <v>20269611.75</v>
      </c>
      <c r="D19" s="204">
        <f>Share_Cost_Mkt!L97</f>
        <v>20268813.75</v>
      </c>
      <c r="E19" s="204">
        <f>C19-D19</f>
        <v>798</v>
      </c>
      <c r="F19" s="204"/>
      <c r="G19" s="205" t="s">
        <v>108</v>
      </c>
      <c r="H19" s="216" t="s">
        <v>387</v>
      </c>
      <c r="I19" s="218"/>
    </row>
    <row r="20" spans="1:9" ht="19.5" customHeight="1">
      <c r="A20" s="190"/>
      <c r="B20" s="190"/>
      <c r="C20" s="207"/>
      <c r="D20" s="207"/>
      <c r="E20" s="207"/>
      <c r="F20" s="207"/>
      <c r="G20" s="219"/>
      <c r="H20" s="210"/>
      <c r="I20" s="211"/>
    </row>
    <row r="21" spans="1:9" ht="18.75" customHeight="1">
      <c r="A21" s="212" t="s">
        <v>94</v>
      </c>
      <c r="B21" s="220" t="s">
        <v>229</v>
      </c>
      <c r="C21" s="213"/>
      <c r="D21" s="213"/>
      <c r="E21" s="213"/>
      <c r="F21" s="213"/>
      <c r="G21" s="219"/>
      <c r="H21" s="210"/>
      <c r="I21" s="211"/>
    </row>
    <row r="22" spans="1:9" ht="15.6">
      <c r="A22" s="214"/>
      <c r="B22" s="214" t="s">
        <v>95</v>
      </c>
      <c r="C22" s="204">
        <f>Open_Trades!D45+Open_Trades!J45</f>
        <v>0</v>
      </c>
      <c r="D22" s="204">
        <f>Open_Trades!E45+Open_Trades!K45</f>
        <v>0</v>
      </c>
      <c r="E22" s="204">
        <f t="shared" ref="E22:E29" si="0">C22-D22</f>
        <v>0</v>
      </c>
      <c r="F22" s="204"/>
      <c r="G22" s="205" t="s">
        <v>96</v>
      </c>
      <c r="H22" s="206"/>
      <c r="I22" s="218"/>
    </row>
    <row r="23" spans="1:9" ht="15.6">
      <c r="A23" s="214"/>
      <c r="B23" s="214" t="s">
        <v>36</v>
      </c>
      <c r="C23" s="204">
        <v>75.16</v>
      </c>
      <c r="D23" s="204">
        <v>75.16</v>
      </c>
      <c r="E23" s="204">
        <f t="shared" si="0"/>
        <v>0</v>
      </c>
      <c r="F23" s="204"/>
      <c r="G23" s="205" t="s">
        <v>36</v>
      </c>
      <c r="H23" s="206"/>
      <c r="I23" s="218"/>
    </row>
    <row r="24" spans="1:9" ht="95.4" customHeight="1">
      <c r="A24" s="214"/>
      <c r="B24" s="214" t="s">
        <v>26</v>
      </c>
      <c r="C24" s="204">
        <f>Dividends!L47</f>
        <v>12797.25</v>
      </c>
      <c r="D24" s="204">
        <f>Dividends!M47</f>
        <v>12797.25</v>
      </c>
      <c r="E24" s="204">
        <f t="shared" si="0"/>
        <v>0</v>
      </c>
      <c r="F24" s="204"/>
      <c r="G24" s="205" t="s">
        <v>26</v>
      </c>
      <c r="H24" s="206"/>
      <c r="I24" s="68"/>
    </row>
    <row r="25" spans="1:9" ht="15.6">
      <c r="A25" s="214"/>
      <c r="B25" s="214" t="s">
        <v>97</v>
      </c>
      <c r="C25" s="204">
        <f>Tax_Reclaims!F24</f>
        <v>0</v>
      </c>
      <c r="D25" s="204">
        <f>Tax_Reclaims!M24</f>
        <v>0</v>
      </c>
      <c r="E25" s="204">
        <f t="shared" si="0"/>
        <v>0</v>
      </c>
      <c r="F25" s="204"/>
      <c r="G25" s="205" t="s">
        <v>31</v>
      </c>
      <c r="H25" s="206"/>
      <c r="I25" s="68"/>
    </row>
    <row r="26" spans="1:9" ht="23.25" hidden="1" customHeight="1">
      <c r="A26" s="214"/>
      <c r="B26" s="221" t="s">
        <v>98</v>
      </c>
      <c r="C26" s="204"/>
      <c r="D26" s="222"/>
      <c r="E26" s="204">
        <f t="shared" si="0"/>
        <v>0</v>
      </c>
      <c r="F26" s="204"/>
      <c r="G26" s="205"/>
      <c r="H26" s="206"/>
      <c r="I26" s="218"/>
    </row>
    <row r="27" spans="1:9" ht="15.6">
      <c r="A27" s="214"/>
      <c r="B27" s="214" t="s">
        <v>130</v>
      </c>
      <c r="C27" s="223">
        <f>Dividends!I47</f>
        <v>0</v>
      </c>
      <c r="D27" s="223">
        <f>Dividends!N47</f>
        <v>0</v>
      </c>
      <c r="E27" s="204">
        <f t="shared" si="0"/>
        <v>0</v>
      </c>
      <c r="F27" s="204"/>
      <c r="G27" s="205" t="s">
        <v>26</v>
      </c>
      <c r="H27" s="206"/>
      <c r="I27" s="68"/>
    </row>
    <row r="28" spans="1:9" ht="15.6">
      <c r="A28" s="214"/>
      <c r="B28" s="214" t="s">
        <v>188</v>
      </c>
      <c r="C28" s="223">
        <f>Dividends!K47</f>
        <v>0</v>
      </c>
      <c r="D28" s="223">
        <v>0</v>
      </c>
      <c r="E28" s="204">
        <f t="shared" si="0"/>
        <v>0</v>
      </c>
      <c r="F28" s="204"/>
      <c r="G28" s="205"/>
      <c r="H28" s="206"/>
      <c r="I28" s="206"/>
    </row>
    <row r="29" spans="1:9" ht="15.6">
      <c r="A29" s="214"/>
      <c r="B29" s="214" t="s">
        <v>134</v>
      </c>
      <c r="C29" s="223">
        <f>'Pending_FX '!D54</f>
        <v>0</v>
      </c>
      <c r="D29" s="223">
        <f>'Pending_FX '!E54</f>
        <v>0</v>
      </c>
      <c r="E29" s="204">
        <f t="shared" si="0"/>
        <v>0</v>
      </c>
      <c r="F29" s="204"/>
      <c r="G29" s="205"/>
      <c r="H29" s="206"/>
      <c r="I29" s="218"/>
    </row>
    <row r="30" spans="1:9" ht="19.5" customHeight="1">
      <c r="A30" s="190"/>
      <c r="B30" s="18" t="s">
        <v>100</v>
      </c>
      <c r="C30" s="207"/>
      <c r="D30" s="207"/>
      <c r="E30" s="207"/>
      <c r="F30" s="207"/>
      <c r="G30" s="219"/>
      <c r="H30" s="211"/>
      <c r="I30" s="211"/>
    </row>
    <row r="31" spans="1:9" ht="18.75" customHeight="1">
      <c r="A31" s="212" t="s">
        <v>101</v>
      </c>
      <c r="B31" s="190"/>
      <c r="C31" s="207"/>
      <c r="D31" s="207"/>
      <c r="E31" s="207"/>
      <c r="F31" s="207"/>
      <c r="G31" s="224"/>
      <c r="H31" s="211"/>
      <c r="I31" s="211"/>
    </row>
    <row r="32" spans="1:9" ht="15.6">
      <c r="A32" s="214"/>
      <c r="B32" s="225" t="s">
        <v>102</v>
      </c>
      <c r="C32" s="204">
        <f>Open_Trades!D19+Open_Trades!J19</f>
        <v>0</v>
      </c>
      <c r="D32" s="204">
        <f>Open_Trades!E19+Open_Trades!K19</f>
        <v>0</v>
      </c>
      <c r="E32" s="204">
        <f>C32-D32</f>
        <v>0</v>
      </c>
      <c r="F32" s="204"/>
      <c r="G32" s="205" t="s">
        <v>96</v>
      </c>
      <c r="H32" s="206"/>
      <c r="I32" s="218"/>
    </row>
    <row r="33" spans="1:9" ht="18.75" hidden="1" customHeight="1">
      <c r="A33" s="214"/>
      <c r="B33" s="221" t="s">
        <v>103</v>
      </c>
      <c r="C33" s="204"/>
      <c r="D33" s="222"/>
      <c r="E33" s="204">
        <f t="shared" ref="E33:E39" si="1">C33-D33</f>
        <v>0</v>
      </c>
      <c r="F33" s="204"/>
      <c r="G33" s="205"/>
      <c r="H33" s="206"/>
      <c r="I33" s="218"/>
    </row>
    <row r="34" spans="1:9" ht="15.6">
      <c r="A34" s="214"/>
      <c r="B34" s="214" t="s">
        <v>135</v>
      </c>
      <c r="C34" s="204">
        <f>'Pending_FX '!D55</f>
        <v>0</v>
      </c>
      <c r="D34" s="204">
        <f>'Pending_FX '!E55</f>
        <v>0</v>
      </c>
      <c r="E34" s="204">
        <f>C34-D34</f>
        <v>0</v>
      </c>
      <c r="F34" s="204"/>
      <c r="G34" s="205" t="s">
        <v>99</v>
      </c>
      <c r="H34" s="206"/>
      <c r="I34" s="218"/>
    </row>
    <row r="35" spans="1:9" ht="19.5" customHeight="1">
      <c r="A35" s="214"/>
      <c r="B35" s="214" t="s">
        <v>104</v>
      </c>
      <c r="C35" s="223"/>
      <c r="D35" s="223"/>
      <c r="E35" s="204">
        <f t="shared" si="1"/>
        <v>0</v>
      </c>
      <c r="F35" s="204"/>
      <c r="G35" s="205"/>
      <c r="H35" s="216"/>
      <c r="I35" s="218"/>
    </row>
    <row r="36" spans="1:9" ht="19.5" customHeight="1">
      <c r="A36" s="214"/>
      <c r="B36" s="214" t="s">
        <v>131</v>
      </c>
      <c r="C36" s="223">
        <f>Cash!D18</f>
        <v>0</v>
      </c>
      <c r="D36" s="223">
        <f>Cash!L15</f>
        <v>0</v>
      </c>
      <c r="E36" s="204">
        <f t="shared" si="1"/>
        <v>0</v>
      </c>
      <c r="F36" s="204"/>
      <c r="G36" s="205"/>
      <c r="H36" s="206"/>
      <c r="I36" s="68"/>
    </row>
    <row r="37" spans="1:9" ht="19.5" customHeight="1">
      <c r="A37" s="214"/>
      <c r="B37" s="214" t="s">
        <v>132</v>
      </c>
      <c r="C37" s="223">
        <f>Interest!D11</f>
        <v>0</v>
      </c>
      <c r="D37" s="223">
        <v>0</v>
      </c>
      <c r="E37" s="204">
        <f t="shared" si="1"/>
        <v>0</v>
      </c>
      <c r="F37" s="204"/>
      <c r="G37" s="205"/>
      <c r="H37" s="206"/>
      <c r="I37" s="218"/>
    </row>
    <row r="38" spans="1:9" ht="19.5" customHeight="1">
      <c r="A38" s="214"/>
      <c r="B38" s="214" t="s">
        <v>105</v>
      </c>
      <c r="C38" s="223"/>
      <c r="D38" s="223"/>
      <c r="E38" s="204">
        <f t="shared" si="1"/>
        <v>0</v>
      </c>
      <c r="F38" s="204"/>
      <c r="G38" s="205"/>
      <c r="H38" s="216"/>
      <c r="I38" s="218"/>
    </row>
    <row r="39" spans="1:9" ht="19.5" customHeight="1">
      <c r="A39" s="214"/>
      <c r="B39" s="214"/>
      <c r="C39" s="223"/>
      <c r="D39" s="223"/>
      <c r="E39" s="204">
        <f t="shared" si="1"/>
        <v>0</v>
      </c>
      <c r="F39" s="204"/>
      <c r="G39" s="205"/>
      <c r="H39" s="216"/>
      <c r="I39" s="216"/>
    </row>
    <row r="40" spans="1:9" ht="19.5" customHeight="1">
      <c r="A40" s="190"/>
      <c r="B40" s="190"/>
      <c r="C40" s="208"/>
      <c r="D40" s="208"/>
      <c r="E40" s="208"/>
      <c r="F40" s="208"/>
      <c r="G40" s="219"/>
      <c r="H40" s="211"/>
      <c r="I40" s="211"/>
    </row>
    <row r="41" spans="1:9" ht="19.5" customHeight="1">
      <c r="A41" s="214"/>
      <c r="B41" s="226" t="s">
        <v>106</v>
      </c>
      <c r="C41" s="204">
        <f>C14+C19+C22+C23+C24+C25+C26+C27+C29+C28-C32-C33-C34-C36-C37</f>
        <v>21152092.649999999</v>
      </c>
      <c r="D41" s="204">
        <f>D14+D19+D22+D23+D24+D25+D26+D27+D29-D32-D33-D34-D36-D37</f>
        <v>21151294.66</v>
      </c>
      <c r="E41" s="215">
        <f>C41-D41</f>
        <v>797.98999999836087</v>
      </c>
      <c r="F41" s="215"/>
      <c r="G41" s="205"/>
      <c r="H41" s="216"/>
      <c r="I41" s="218"/>
    </row>
    <row r="42" spans="1:9" ht="20.25" customHeight="1">
      <c r="A42" s="214"/>
      <c r="B42" s="226" t="s">
        <v>107</v>
      </c>
      <c r="C42" s="214"/>
      <c r="D42" s="214"/>
      <c r="E42" s="227">
        <f>IF(ISERROR(E41/C41),0,E41/C41)</f>
        <v>3.7726290878286265E-5</v>
      </c>
      <c r="F42" s="227"/>
      <c r="G42" s="205"/>
      <c r="H42" s="216"/>
      <c r="I42" s="216"/>
    </row>
    <row r="43" spans="1:9">
      <c r="A43" s="228"/>
    </row>
    <row r="44" spans="1:9">
      <c r="A44" s="228"/>
      <c r="C44" s="197"/>
    </row>
    <row r="45" spans="1:9">
      <c r="A45" s="228"/>
    </row>
    <row r="46" spans="1:9">
      <c r="A46" s="228"/>
    </row>
  </sheetData>
  <phoneticPr fontId="0" type="noConversion"/>
  <pageMargins left="0.75" right="0.75" top="1" bottom="1" header="0.5" footer="0.5"/>
  <pageSetup scale="48" fitToHeight="600" orientation="landscape" r:id="rId1"/>
  <headerFooter alignWithMargins="0">
    <oddHeader>&amp;A</oddHeader>
  </headerFooter>
</worksheet>
</file>

<file path=xl/worksheets/sheet6.xml><?xml version="1.0" encoding="utf-8"?>
<worksheet xmlns="http://schemas.openxmlformats.org/spreadsheetml/2006/main" xmlns:r="http://schemas.openxmlformats.org/officeDocument/2006/relationships">
  <sheetPr codeName="Sheet5"/>
  <dimension ref="A1:M31"/>
  <sheetViews>
    <sheetView zoomScaleNormal="100" workbookViewId="0">
      <selection activeCell="C19" sqref="C19"/>
    </sheetView>
  </sheetViews>
  <sheetFormatPr defaultColWidth="8.88671875" defaultRowHeight="11.4"/>
  <cols>
    <col min="1" max="1" width="14.5546875" style="242" bestFit="1" customWidth="1"/>
    <col min="2" max="2" width="50.6640625" style="242" bestFit="1" customWidth="1"/>
    <col min="3" max="4" width="18.6640625" style="242" customWidth="1"/>
    <col min="5" max="5" width="14.44140625" style="242" customWidth="1"/>
    <col min="6" max="6" width="19" style="297" customWidth="1"/>
    <col min="7" max="7" width="18.44140625" style="242" customWidth="1"/>
    <col min="8" max="8" width="14.44140625" style="307" customWidth="1"/>
    <col min="9" max="9" width="19" style="242" bestFit="1" customWidth="1"/>
    <col min="10" max="10" width="18.6640625" style="242" bestFit="1" customWidth="1"/>
    <col min="11" max="11" width="17.109375" style="242" bestFit="1" customWidth="1"/>
    <col min="12" max="12" width="16.5546875" style="242" bestFit="1" customWidth="1"/>
    <col min="13" max="13" width="77.6640625" style="242" customWidth="1"/>
    <col min="14" max="16384" width="8.88671875" style="242"/>
  </cols>
  <sheetData>
    <row r="1" spans="1:13" ht="12">
      <c r="A1" s="288" t="s">
        <v>256</v>
      </c>
    </row>
    <row r="2" spans="1:13" ht="12" thickBot="1"/>
    <row r="3" spans="1:13" ht="24.6" thickBot="1">
      <c r="A3" s="288" t="s">
        <v>65</v>
      </c>
      <c r="B3" s="288" t="s">
        <v>51</v>
      </c>
      <c r="C3" s="289" t="s">
        <v>58</v>
      </c>
      <c r="D3" s="289" t="s">
        <v>147</v>
      </c>
      <c r="E3" s="289" t="s">
        <v>53</v>
      </c>
      <c r="F3" s="290" t="s">
        <v>56</v>
      </c>
      <c r="G3" s="289" t="s">
        <v>155</v>
      </c>
      <c r="H3" s="291" t="s">
        <v>53</v>
      </c>
      <c r="I3" s="289" t="s">
        <v>149</v>
      </c>
      <c r="J3" s="292" t="s">
        <v>150</v>
      </c>
      <c r="K3" s="292" t="s">
        <v>151</v>
      </c>
      <c r="L3" s="292" t="s">
        <v>152</v>
      </c>
      <c r="M3" s="259" t="s">
        <v>121</v>
      </c>
    </row>
    <row r="4" spans="1:13" ht="13.95" customHeight="1">
      <c r="A4" s="275"/>
      <c r="B4" s="275" t="s">
        <v>296</v>
      </c>
      <c r="C4" s="287">
        <v>869608.49</v>
      </c>
      <c r="D4" s="286">
        <v>869608.5</v>
      </c>
      <c r="E4" s="293">
        <f t="shared" ref="E4:E13" si="0">C4-D4</f>
        <v>-1.0000000009313226E-2</v>
      </c>
      <c r="F4" s="287">
        <v>869608.49</v>
      </c>
      <c r="G4" s="286">
        <v>869608.5</v>
      </c>
      <c r="H4" s="294">
        <f t="shared" ref="H4:H13" si="1">F4-G4</f>
        <v>-1.0000000009313226E-2</v>
      </c>
      <c r="I4" s="287">
        <v>869608.49</v>
      </c>
      <c r="J4" s="286">
        <v>869608.5</v>
      </c>
      <c r="K4" s="293">
        <f t="shared" ref="K4:L9" si="2">F4-I4</f>
        <v>0</v>
      </c>
      <c r="L4" s="293">
        <f t="shared" si="2"/>
        <v>0</v>
      </c>
      <c r="M4" s="295"/>
    </row>
    <row r="5" spans="1:13" ht="13.95" customHeight="1">
      <c r="B5" s="275"/>
      <c r="C5" s="287"/>
      <c r="D5" s="286"/>
      <c r="E5" s="293">
        <f t="shared" si="0"/>
        <v>0</v>
      </c>
      <c r="F5" s="287"/>
      <c r="G5" s="287"/>
      <c r="H5" s="294">
        <f t="shared" si="1"/>
        <v>0</v>
      </c>
      <c r="I5" s="287"/>
      <c r="J5" s="287"/>
      <c r="K5" s="293">
        <f t="shared" si="2"/>
        <v>0</v>
      </c>
      <c r="L5" s="293">
        <f t="shared" si="2"/>
        <v>0</v>
      </c>
      <c r="M5" s="295"/>
    </row>
    <row r="6" spans="1:13" ht="13.95" customHeight="1">
      <c r="B6" s="275"/>
      <c r="C6" s="287"/>
      <c r="D6" s="286"/>
      <c r="E6" s="293">
        <f t="shared" si="0"/>
        <v>0</v>
      </c>
      <c r="F6" s="287"/>
      <c r="G6" s="287"/>
      <c r="H6" s="294">
        <f t="shared" si="1"/>
        <v>0</v>
      </c>
      <c r="I6" s="287"/>
      <c r="J6" s="287"/>
      <c r="K6" s="293">
        <f t="shared" si="2"/>
        <v>0</v>
      </c>
      <c r="L6" s="293">
        <f t="shared" si="2"/>
        <v>0</v>
      </c>
      <c r="M6" s="295"/>
    </row>
    <row r="7" spans="1:13" ht="13.95" customHeight="1">
      <c r="B7" s="275"/>
      <c r="C7" s="287"/>
      <c r="D7" s="286"/>
      <c r="E7" s="293">
        <f t="shared" si="0"/>
        <v>0</v>
      </c>
      <c r="F7" s="287"/>
      <c r="G7" s="287"/>
      <c r="H7" s="294">
        <f t="shared" si="1"/>
        <v>0</v>
      </c>
      <c r="I7" s="287"/>
      <c r="J7" s="287"/>
      <c r="K7" s="293">
        <f t="shared" si="2"/>
        <v>0</v>
      </c>
      <c r="L7" s="293">
        <f t="shared" si="2"/>
        <v>0</v>
      </c>
      <c r="M7" s="295"/>
    </row>
    <row r="8" spans="1:13" ht="12">
      <c r="A8" s="296"/>
      <c r="B8" s="275"/>
      <c r="C8" s="297"/>
      <c r="D8" s="374"/>
      <c r="E8" s="293">
        <f t="shared" si="0"/>
        <v>0</v>
      </c>
      <c r="G8" s="372"/>
      <c r="H8" s="294">
        <f t="shared" si="1"/>
        <v>0</v>
      </c>
      <c r="I8" s="298"/>
      <c r="J8" s="372"/>
      <c r="K8" s="293">
        <f t="shared" si="2"/>
        <v>0</v>
      </c>
      <c r="L8" s="293">
        <f t="shared" si="2"/>
        <v>0</v>
      </c>
      <c r="M8" s="288"/>
    </row>
    <row r="9" spans="1:13" ht="12">
      <c r="A9" s="296"/>
      <c r="B9" s="371"/>
      <c r="C9" s="297"/>
      <c r="D9" s="373"/>
      <c r="E9" s="293"/>
      <c r="G9" s="370"/>
      <c r="H9" s="294"/>
      <c r="I9" s="298"/>
      <c r="J9" s="372"/>
      <c r="K9" s="293">
        <f t="shared" si="2"/>
        <v>0</v>
      </c>
      <c r="L9" s="293">
        <f t="shared" si="2"/>
        <v>0</v>
      </c>
    </row>
    <row r="10" spans="1:13" ht="12">
      <c r="A10" s="296"/>
      <c r="B10" s="275"/>
      <c r="C10" s="297"/>
      <c r="D10" s="286"/>
      <c r="E10" s="293">
        <f t="shared" si="0"/>
        <v>0</v>
      </c>
      <c r="G10" s="287"/>
      <c r="H10" s="294">
        <f t="shared" si="1"/>
        <v>0</v>
      </c>
      <c r="I10" s="298"/>
      <c r="J10" s="287"/>
      <c r="K10" s="293">
        <f>I10-F10</f>
        <v>0</v>
      </c>
      <c r="L10" s="293">
        <f>G10-J10</f>
        <v>0</v>
      </c>
      <c r="M10" s="278"/>
    </row>
    <row r="11" spans="1:13" ht="12">
      <c r="A11" s="296"/>
      <c r="B11" s="275"/>
      <c r="C11" s="297"/>
      <c r="D11" s="286"/>
      <c r="E11" s="293">
        <f t="shared" si="0"/>
        <v>0</v>
      </c>
      <c r="G11" s="287"/>
      <c r="H11" s="294">
        <f t="shared" si="1"/>
        <v>0</v>
      </c>
      <c r="I11" s="298"/>
      <c r="J11" s="287"/>
      <c r="K11" s="293">
        <f>I11-F11</f>
        <v>0</v>
      </c>
      <c r="L11" s="293">
        <f>G11-J11</f>
        <v>0</v>
      </c>
      <c r="M11" s="278"/>
    </row>
    <row r="12" spans="1:13" ht="12">
      <c r="A12" s="296"/>
      <c r="B12" s="275"/>
      <c r="C12" s="297"/>
      <c r="D12" s="286"/>
      <c r="E12" s="293">
        <f t="shared" si="0"/>
        <v>0</v>
      </c>
      <c r="G12" s="287"/>
      <c r="H12" s="294">
        <f t="shared" si="1"/>
        <v>0</v>
      </c>
      <c r="I12" s="298"/>
      <c r="J12" s="287"/>
      <c r="K12" s="293">
        <f>I12-F12</f>
        <v>0</v>
      </c>
      <c r="L12" s="293">
        <f>G12-J12</f>
        <v>0</v>
      </c>
      <c r="M12" s="278"/>
    </row>
    <row r="13" spans="1:13" ht="12">
      <c r="A13" s="276"/>
      <c r="B13" s="275"/>
      <c r="C13" s="298"/>
      <c r="D13" s="286"/>
      <c r="E13" s="293">
        <f t="shared" si="0"/>
        <v>0</v>
      </c>
      <c r="F13" s="299"/>
      <c r="G13" s="287"/>
      <c r="H13" s="294">
        <f t="shared" si="1"/>
        <v>0</v>
      </c>
      <c r="I13" s="299"/>
      <c r="J13" s="287"/>
      <c r="K13" s="293">
        <f>I13-F13</f>
        <v>0</v>
      </c>
      <c r="L13" s="293">
        <f>G13-J13</f>
        <v>0</v>
      </c>
      <c r="M13" s="288"/>
    </row>
    <row r="14" spans="1:13">
      <c r="C14" s="300"/>
      <c r="D14" s="300"/>
      <c r="E14" s="300"/>
      <c r="F14" s="300"/>
      <c r="G14" s="300"/>
      <c r="H14" s="301"/>
      <c r="I14" s="300"/>
      <c r="J14" s="302"/>
      <c r="K14" s="302"/>
      <c r="L14" s="302"/>
    </row>
    <row r="15" spans="1:13" ht="12.6" thickBot="1">
      <c r="B15" s="303" t="s">
        <v>60</v>
      </c>
      <c r="C15" s="304">
        <f>SUM(C4:C14)</f>
        <v>869608.49</v>
      </c>
      <c r="D15" s="304">
        <f>SUM(D4:D14)</f>
        <v>869608.5</v>
      </c>
      <c r="E15" s="304">
        <f>SUM(E4:E14)</f>
        <v>-1.0000000009313226E-2</v>
      </c>
      <c r="F15" s="304">
        <f>SUM(F4:F13)</f>
        <v>869608.49</v>
      </c>
      <c r="G15" s="304">
        <f>SUM(G4:G13)</f>
        <v>869608.5</v>
      </c>
      <c r="H15" s="305">
        <f>SUM(H4:H13)</f>
        <v>-1.0000000009313226E-2</v>
      </c>
      <c r="I15" s="304">
        <f>SUM(I4:I14)</f>
        <v>869608.49</v>
      </c>
      <c r="J15" s="306">
        <f>SUM(J4:J14)</f>
        <v>869608.5</v>
      </c>
      <c r="K15" s="306">
        <f>SUM(K4:K14)</f>
        <v>0</v>
      </c>
      <c r="L15" s="306">
        <f>SUM(L4:L14)</f>
        <v>0</v>
      </c>
    </row>
    <row r="16" spans="1:13" ht="12" thickTop="1"/>
    <row r="18" spans="2:5" ht="12">
      <c r="B18" s="308" t="s">
        <v>148</v>
      </c>
      <c r="C18" s="309"/>
      <c r="D18" s="310">
        <f>K15</f>
        <v>0</v>
      </c>
    </row>
    <row r="19" spans="2:5" ht="12">
      <c r="B19" s="276"/>
      <c r="C19" s="292"/>
      <c r="D19" s="311"/>
      <c r="E19" s="289"/>
    </row>
    <row r="31" spans="2:5">
      <c r="D31" s="312"/>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sheetPr codeName="Sheet4">
    <pageSetUpPr fitToPage="1"/>
  </sheetPr>
  <dimension ref="A1:Z107"/>
  <sheetViews>
    <sheetView zoomScale="85" zoomScaleNormal="85" workbookViewId="0">
      <pane xSplit="2" ySplit="2" topLeftCell="M3" activePane="bottomRight" state="frozen"/>
      <selection activeCell="G22" sqref="G22"/>
      <selection pane="topRight" activeCell="G22" sqref="G22"/>
      <selection pane="bottomLeft" activeCell="G22" sqref="G22"/>
      <selection pane="bottomRight" activeCell="A96" sqref="A96:XFD102"/>
    </sheetView>
  </sheetViews>
  <sheetFormatPr defaultColWidth="8.88671875" defaultRowHeight="13.2"/>
  <cols>
    <col min="1" max="1" width="14.33203125" style="233" customWidth="1"/>
    <col min="2" max="2" width="35.88671875" style="233" bestFit="1" customWidth="1"/>
    <col min="3" max="3" width="19" style="322" bestFit="1" customWidth="1"/>
    <col min="4" max="4" width="21.33203125" style="474" bestFit="1" customWidth="1"/>
    <col min="5" max="5" width="20.33203125" style="322" customWidth="1"/>
    <col min="6" max="6" width="17.5546875" style="468" bestFit="1" customWidth="1"/>
    <col min="7" max="7" width="16.109375" style="468" bestFit="1" customWidth="1"/>
    <col min="8" max="8" width="19.88671875" style="468" customWidth="1"/>
    <col min="9" max="9" width="18.6640625" style="468" customWidth="1"/>
    <col min="10" max="10" width="13.5546875" style="468" customWidth="1"/>
    <col min="11" max="11" width="15.44140625" style="468" bestFit="1" customWidth="1"/>
    <col min="12" max="12" width="15.33203125" style="468" bestFit="1" customWidth="1"/>
    <col min="13" max="14" width="16.33203125" style="468" customWidth="1"/>
    <col min="15" max="15" width="14.109375" style="470" bestFit="1" customWidth="1"/>
    <col min="16" max="16" width="12.5546875" style="468" bestFit="1" customWidth="1"/>
    <col min="17" max="17" width="13.6640625" style="468" bestFit="1" customWidth="1"/>
    <col min="18" max="18" width="13.6640625" style="468" customWidth="1"/>
    <col min="19" max="19" width="20.88671875" style="468" bestFit="1" customWidth="1"/>
    <col min="20" max="20" width="23.88671875" style="468" bestFit="1" customWidth="1"/>
    <col min="21" max="22" width="19.109375" style="468" customWidth="1"/>
    <col min="23" max="23" width="23.5546875" style="468" customWidth="1"/>
    <col min="24" max="24" width="20.88671875" style="468" bestFit="1" customWidth="1"/>
    <col min="25" max="25" width="22.6640625" style="468" customWidth="1"/>
    <col min="26" max="26" width="62.5546875" style="231" bestFit="1" customWidth="1"/>
    <col min="27" max="16384" width="8.88671875" style="231"/>
  </cols>
  <sheetData>
    <row r="1" spans="1:26">
      <c r="A1" s="434" t="s">
        <v>257</v>
      </c>
    </row>
    <row r="2" spans="1:26" ht="26.4">
      <c r="A2" s="434" t="s">
        <v>157</v>
      </c>
      <c r="B2" s="434" t="s">
        <v>51</v>
      </c>
      <c r="C2" s="435" t="s">
        <v>52</v>
      </c>
      <c r="D2" s="436" t="s">
        <v>153</v>
      </c>
      <c r="E2" s="437" t="s">
        <v>53</v>
      </c>
      <c r="F2" s="438" t="s">
        <v>54</v>
      </c>
      <c r="G2" s="438" t="s">
        <v>154</v>
      </c>
      <c r="H2" s="438" t="s">
        <v>53</v>
      </c>
      <c r="I2" s="439" t="s">
        <v>55</v>
      </c>
      <c r="J2" s="440" t="s">
        <v>158</v>
      </c>
      <c r="K2" s="439" t="s">
        <v>56</v>
      </c>
      <c r="L2" s="439" t="s">
        <v>155</v>
      </c>
      <c r="M2" s="438" t="s">
        <v>53</v>
      </c>
      <c r="N2" s="438"/>
      <c r="O2" s="441" t="s">
        <v>57</v>
      </c>
      <c r="P2" s="440" t="s">
        <v>159</v>
      </c>
      <c r="Q2" s="442" t="s">
        <v>53</v>
      </c>
      <c r="R2" s="442"/>
      <c r="S2" s="439" t="s">
        <v>58</v>
      </c>
      <c r="T2" s="439" t="s">
        <v>147</v>
      </c>
      <c r="U2" s="442" t="s">
        <v>53</v>
      </c>
      <c r="V2" s="442"/>
      <c r="W2" s="439" t="s">
        <v>59</v>
      </c>
      <c r="X2" s="439" t="s">
        <v>156</v>
      </c>
      <c r="Y2" s="438" t="s">
        <v>53</v>
      </c>
      <c r="Z2" s="5" t="s">
        <v>233</v>
      </c>
    </row>
    <row r="3" spans="1:26" s="229" customFormat="1">
      <c r="A3" s="443"/>
      <c r="B3" s="235" t="s">
        <v>297</v>
      </c>
      <c r="C3" s="495">
        <v>12800</v>
      </c>
      <c r="D3" s="444">
        <v>12800</v>
      </c>
      <c r="E3" s="438">
        <f>C3-D3</f>
        <v>0</v>
      </c>
      <c r="F3" s="496">
        <v>91148.7</v>
      </c>
      <c r="G3" s="445">
        <v>99641.5</v>
      </c>
      <c r="H3" s="438">
        <f>F3-G3</f>
        <v>-8492.8000000000029</v>
      </c>
      <c r="I3" s="496">
        <v>14.22</v>
      </c>
      <c r="J3" s="446">
        <v>14.22</v>
      </c>
      <c r="K3" s="496">
        <v>182016</v>
      </c>
      <c r="L3" s="445">
        <v>182016</v>
      </c>
      <c r="M3" s="438">
        <f>K3-L3</f>
        <v>0</v>
      </c>
      <c r="N3" s="447">
        <f>SUM(M3/L3)</f>
        <v>0</v>
      </c>
      <c r="O3" s="496">
        <v>14.22</v>
      </c>
      <c r="P3" s="446">
        <v>14.22</v>
      </c>
      <c r="Q3" s="438">
        <f>O3-P3</f>
        <v>0</v>
      </c>
      <c r="R3" s="448">
        <f>SUM(Q3/P3)</f>
        <v>0</v>
      </c>
      <c r="S3" s="496">
        <v>182016</v>
      </c>
      <c r="T3" s="445">
        <v>182016</v>
      </c>
      <c r="U3" s="438">
        <f>S3-T3</f>
        <v>0</v>
      </c>
      <c r="V3" s="448">
        <f>SUM(U3/T3)</f>
        <v>0</v>
      </c>
      <c r="W3" s="496">
        <v>91148.7</v>
      </c>
      <c r="X3" s="445">
        <v>99641.5</v>
      </c>
      <c r="Y3" s="438">
        <f>W3-X3</f>
        <v>-8492.8000000000029</v>
      </c>
    </row>
    <row r="4" spans="1:26" s="229" customFormat="1">
      <c r="A4" s="443"/>
      <c r="B4" s="235" t="s">
        <v>298</v>
      </c>
      <c r="C4" s="495">
        <v>4300</v>
      </c>
      <c r="D4" s="444">
        <v>4300</v>
      </c>
      <c r="E4" s="438">
        <f t="shared" ref="E4:E67" si="0">C4-D4</f>
        <v>0</v>
      </c>
      <c r="F4" s="496">
        <v>193865.99</v>
      </c>
      <c r="G4" s="445">
        <v>193865.99</v>
      </c>
      <c r="H4" s="438">
        <f t="shared" ref="H4:H67" si="1">F4-G4</f>
        <v>0</v>
      </c>
      <c r="I4" s="496">
        <v>50.78</v>
      </c>
      <c r="J4" s="446">
        <v>50.78</v>
      </c>
      <c r="K4" s="496">
        <v>218354</v>
      </c>
      <c r="L4" s="445">
        <v>218354</v>
      </c>
      <c r="M4" s="438">
        <f t="shared" ref="M4:M67" si="2">K4-L4</f>
        <v>0</v>
      </c>
      <c r="N4" s="447">
        <f t="shared" ref="N4:N67" si="3">SUM(M4/L4)</f>
        <v>0</v>
      </c>
      <c r="O4" s="496">
        <v>50.78</v>
      </c>
      <c r="P4" s="446">
        <v>50.78</v>
      </c>
      <c r="Q4" s="438">
        <f t="shared" ref="Q4:Q67" si="4">O4-P4</f>
        <v>0</v>
      </c>
      <c r="R4" s="448">
        <f t="shared" ref="R4:R67" si="5">SUM(Q4/P4)</f>
        <v>0</v>
      </c>
      <c r="S4" s="496">
        <v>218354</v>
      </c>
      <c r="T4" s="445">
        <v>218354</v>
      </c>
      <c r="U4" s="438">
        <f t="shared" ref="U4:U67" si="6">S4-T4</f>
        <v>0</v>
      </c>
      <c r="V4" s="448">
        <f t="shared" ref="V4:V67" si="7">SUM(U4/T4)</f>
        <v>0</v>
      </c>
      <c r="W4" s="496">
        <v>193865.99</v>
      </c>
      <c r="X4" s="445">
        <v>193865.99</v>
      </c>
      <c r="Y4" s="438">
        <f t="shared" ref="Y4:Y67" si="8">W4-X4</f>
        <v>0</v>
      </c>
    </row>
    <row r="5" spans="1:26" s="229" customFormat="1">
      <c r="A5" s="443"/>
      <c r="B5" s="235" t="s">
        <v>299</v>
      </c>
      <c r="C5" s="495">
        <v>3175</v>
      </c>
      <c r="D5" s="444">
        <v>3175</v>
      </c>
      <c r="E5" s="438">
        <f t="shared" si="0"/>
        <v>0</v>
      </c>
      <c r="F5" s="496">
        <v>117175.85</v>
      </c>
      <c r="G5" s="445">
        <v>117175.85</v>
      </c>
      <c r="H5" s="438">
        <f t="shared" si="1"/>
        <v>0</v>
      </c>
      <c r="I5" s="496">
        <v>52.97</v>
      </c>
      <c r="J5" s="446">
        <v>52.97</v>
      </c>
      <c r="K5" s="496">
        <v>168179.75</v>
      </c>
      <c r="L5" s="445">
        <v>168179.75</v>
      </c>
      <c r="M5" s="438">
        <f t="shared" si="2"/>
        <v>0</v>
      </c>
      <c r="N5" s="447">
        <f t="shared" si="3"/>
        <v>0</v>
      </c>
      <c r="O5" s="496">
        <v>52.97</v>
      </c>
      <c r="P5" s="446">
        <v>52.97</v>
      </c>
      <c r="Q5" s="438">
        <f t="shared" si="4"/>
        <v>0</v>
      </c>
      <c r="R5" s="448">
        <f t="shared" si="5"/>
        <v>0</v>
      </c>
      <c r="S5" s="496">
        <v>168179.75</v>
      </c>
      <c r="T5" s="445">
        <v>168179.75</v>
      </c>
      <c r="U5" s="438">
        <f t="shared" si="6"/>
        <v>0</v>
      </c>
      <c r="V5" s="448">
        <f t="shared" si="7"/>
        <v>0</v>
      </c>
      <c r="W5" s="496">
        <v>117175.85</v>
      </c>
      <c r="X5" s="445">
        <v>117175.85</v>
      </c>
      <c r="Y5" s="438">
        <f t="shared" si="8"/>
        <v>0</v>
      </c>
    </row>
    <row r="6" spans="1:26" s="229" customFormat="1">
      <c r="A6" s="443"/>
      <c r="B6" s="235" t="s">
        <v>300</v>
      </c>
      <c r="C6" s="495">
        <v>10400</v>
      </c>
      <c r="D6" s="444">
        <v>10400</v>
      </c>
      <c r="E6" s="438">
        <f t="shared" si="0"/>
        <v>0</v>
      </c>
      <c r="F6" s="496">
        <v>177875.25</v>
      </c>
      <c r="G6" s="445">
        <v>177875.25</v>
      </c>
      <c r="H6" s="438">
        <f t="shared" si="1"/>
        <v>0</v>
      </c>
      <c r="I6" s="496">
        <v>42.37</v>
      </c>
      <c r="J6" s="446">
        <v>42.37</v>
      </c>
      <c r="K6" s="496">
        <v>440648</v>
      </c>
      <c r="L6" s="445">
        <v>440648</v>
      </c>
      <c r="M6" s="438">
        <f t="shared" si="2"/>
        <v>0</v>
      </c>
      <c r="N6" s="447">
        <f t="shared" si="3"/>
        <v>0</v>
      </c>
      <c r="O6" s="496">
        <v>42.37</v>
      </c>
      <c r="P6" s="446">
        <v>42.37</v>
      </c>
      <c r="Q6" s="438">
        <f t="shared" si="4"/>
        <v>0</v>
      </c>
      <c r="R6" s="448">
        <f t="shared" si="5"/>
        <v>0</v>
      </c>
      <c r="S6" s="496">
        <v>440648</v>
      </c>
      <c r="T6" s="445">
        <v>440648</v>
      </c>
      <c r="U6" s="438">
        <f t="shared" si="6"/>
        <v>0</v>
      </c>
      <c r="V6" s="448">
        <f t="shared" si="7"/>
        <v>0</v>
      </c>
      <c r="W6" s="496">
        <v>177875.25</v>
      </c>
      <c r="X6" s="445">
        <v>177875.25</v>
      </c>
      <c r="Y6" s="438">
        <f t="shared" si="8"/>
        <v>0</v>
      </c>
    </row>
    <row r="7" spans="1:26" s="229" customFormat="1">
      <c r="A7" s="443"/>
      <c r="B7" s="235" t="s">
        <v>301</v>
      </c>
      <c r="C7" s="495">
        <v>12700</v>
      </c>
      <c r="D7" s="444">
        <v>12700</v>
      </c>
      <c r="E7" s="438">
        <f t="shared" si="0"/>
        <v>0</v>
      </c>
      <c r="F7" s="496">
        <v>215121.25</v>
      </c>
      <c r="G7" s="445">
        <v>215121.25</v>
      </c>
      <c r="H7" s="438">
        <f t="shared" si="1"/>
        <v>0</v>
      </c>
      <c r="I7" s="496">
        <v>16.37</v>
      </c>
      <c r="J7" s="446">
        <v>16.37</v>
      </c>
      <c r="K7" s="496">
        <v>207899</v>
      </c>
      <c r="L7" s="445">
        <v>207899</v>
      </c>
      <c r="M7" s="438">
        <f t="shared" si="2"/>
        <v>0</v>
      </c>
      <c r="N7" s="447">
        <f t="shared" si="3"/>
        <v>0</v>
      </c>
      <c r="O7" s="496">
        <v>16.37</v>
      </c>
      <c r="P7" s="446">
        <v>16.37</v>
      </c>
      <c r="Q7" s="438">
        <f t="shared" si="4"/>
        <v>0</v>
      </c>
      <c r="R7" s="448">
        <f t="shared" si="5"/>
        <v>0</v>
      </c>
      <c r="S7" s="496">
        <v>207899</v>
      </c>
      <c r="T7" s="445">
        <v>207899</v>
      </c>
      <c r="U7" s="438">
        <f t="shared" si="6"/>
        <v>0</v>
      </c>
      <c r="V7" s="448">
        <f t="shared" si="7"/>
        <v>0</v>
      </c>
      <c r="W7" s="496">
        <v>215121.25</v>
      </c>
      <c r="X7" s="445">
        <v>215121.25</v>
      </c>
      <c r="Y7" s="438">
        <f t="shared" si="8"/>
        <v>0</v>
      </c>
    </row>
    <row r="8" spans="1:26" s="229" customFormat="1">
      <c r="A8" s="443"/>
      <c r="B8" s="235" t="s">
        <v>302</v>
      </c>
      <c r="C8" s="495">
        <v>2700</v>
      </c>
      <c r="D8" s="444">
        <v>2700</v>
      </c>
      <c r="E8" s="438">
        <f t="shared" si="0"/>
        <v>0</v>
      </c>
      <c r="F8" s="496">
        <v>149970.79999999999</v>
      </c>
      <c r="G8" s="445">
        <v>149970.79999999999</v>
      </c>
      <c r="H8" s="438">
        <f t="shared" si="1"/>
        <v>0</v>
      </c>
      <c r="I8" s="496">
        <v>67.34</v>
      </c>
      <c r="J8" s="446">
        <v>67.34</v>
      </c>
      <c r="K8" s="496">
        <v>181818</v>
      </c>
      <c r="L8" s="445">
        <v>181818</v>
      </c>
      <c r="M8" s="438">
        <f t="shared" si="2"/>
        <v>0</v>
      </c>
      <c r="N8" s="447">
        <f t="shared" si="3"/>
        <v>0</v>
      </c>
      <c r="O8" s="496">
        <v>67.34</v>
      </c>
      <c r="P8" s="446">
        <v>67.34</v>
      </c>
      <c r="Q8" s="438">
        <f t="shared" si="4"/>
        <v>0</v>
      </c>
      <c r="R8" s="448">
        <f t="shared" si="5"/>
        <v>0</v>
      </c>
      <c r="S8" s="496">
        <v>181818</v>
      </c>
      <c r="T8" s="445">
        <v>181818</v>
      </c>
      <c r="U8" s="438">
        <f t="shared" si="6"/>
        <v>0</v>
      </c>
      <c r="V8" s="448">
        <f t="shared" si="7"/>
        <v>0</v>
      </c>
      <c r="W8" s="496">
        <v>149970.79999999999</v>
      </c>
      <c r="X8" s="445">
        <v>149970.79999999999</v>
      </c>
      <c r="Y8" s="438">
        <f t="shared" si="8"/>
        <v>0</v>
      </c>
    </row>
    <row r="9" spans="1:26" s="229" customFormat="1">
      <c r="A9" s="443"/>
      <c r="B9" s="235" t="s">
        <v>303</v>
      </c>
      <c r="C9" s="495">
        <v>1000</v>
      </c>
      <c r="D9" s="444">
        <v>1000</v>
      </c>
      <c r="E9" s="438">
        <f t="shared" si="0"/>
        <v>0</v>
      </c>
      <c r="F9" s="496">
        <v>85257.9</v>
      </c>
      <c r="G9" s="445">
        <v>85257.9</v>
      </c>
      <c r="H9" s="438">
        <f t="shared" si="1"/>
        <v>0</v>
      </c>
      <c r="I9" s="496">
        <v>84.61</v>
      </c>
      <c r="J9" s="446">
        <v>84.61</v>
      </c>
      <c r="K9" s="496">
        <v>84610</v>
      </c>
      <c r="L9" s="445">
        <v>84610</v>
      </c>
      <c r="M9" s="438">
        <f t="shared" si="2"/>
        <v>0</v>
      </c>
      <c r="N9" s="447">
        <f t="shared" si="3"/>
        <v>0</v>
      </c>
      <c r="O9" s="496">
        <v>84.61</v>
      </c>
      <c r="P9" s="446">
        <v>84.61</v>
      </c>
      <c r="Q9" s="438">
        <f t="shared" si="4"/>
        <v>0</v>
      </c>
      <c r="R9" s="448">
        <f t="shared" si="5"/>
        <v>0</v>
      </c>
      <c r="S9" s="496">
        <v>84610</v>
      </c>
      <c r="T9" s="445">
        <v>84610</v>
      </c>
      <c r="U9" s="438">
        <f t="shared" si="6"/>
        <v>0</v>
      </c>
      <c r="V9" s="448">
        <f t="shared" si="7"/>
        <v>0</v>
      </c>
      <c r="W9" s="496">
        <v>85257.9</v>
      </c>
      <c r="X9" s="445">
        <v>85257.9</v>
      </c>
      <c r="Y9" s="438">
        <f t="shared" si="8"/>
        <v>0</v>
      </c>
    </row>
    <row r="10" spans="1:26" s="229" customFormat="1">
      <c r="A10" s="443"/>
      <c r="B10" s="235" t="s">
        <v>304</v>
      </c>
      <c r="C10" s="495">
        <v>5225</v>
      </c>
      <c r="D10" s="444">
        <v>5225</v>
      </c>
      <c r="E10" s="438">
        <f t="shared" si="0"/>
        <v>0</v>
      </c>
      <c r="F10" s="496">
        <f>23683.92+38915.8+49232.38+66341.94</f>
        <v>178174.04</v>
      </c>
      <c r="G10" s="445">
        <v>178174.04</v>
      </c>
      <c r="H10" s="438">
        <f t="shared" si="1"/>
        <v>0</v>
      </c>
      <c r="I10" s="496">
        <v>51.26</v>
      </c>
      <c r="J10" s="446">
        <v>51.26</v>
      </c>
      <c r="K10" s="496">
        <v>267833.5</v>
      </c>
      <c r="L10" s="445">
        <v>267833.5</v>
      </c>
      <c r="M10" s="438">
        <f t="shared" si="2"/>
        <v>0</v>
      </c>
      <c r="N10" s="447">
        <f t="shared" si="3"/>
        <v>0</v>
      </c>
      <c r="O10" s="496">
        <v>51.26</v>
      </c>
      <c r="P10" s="446">
        <v>51.26</v>
      </c>
      <c r="Q10" s="438">
        <f t="shared" si="4"/>
        <v>0</v>
      </c>
      <c r="R10" s="448">
        <f t="shared" si="5"/>
        <v>0</v>
      </c>
      <c r="S10" s="496">
        <v>267833.5</v>
      </c>
      <c r="T10" s="445">
        <v>267833.5</v>
      </c>
      <c r="U10" s="438">
        <f t="shared" si="6"/>
        <v>0</v>
      </c>
      <c r="V10" s="448">
        <f t="shared" si="7"/>
        <v>0</v>
      </c>
      <c r="W10" s="496">
        <f>23683.92+38915.8+49232.38+66341.94</f>
        <v>178174.04</v>
      </c>
      <c r="X10" s="445">
        <v>178174.04</v>
      </c>
      <c r="Y10" s="438">
        <f t="shared" si="8"/>
        <v>0</v>
      </c>
    </row>
    <row r="11" spans="1:26" s="229" customFormat="1">
      <c r="A11" s="443"/>
      <c r="B11" s="235" t="s">
        <v>305</v>
      </c>
      <c r="C11" s="495">
        <v>5825</v>
      </c>
      <c r="D11" s="444">
        <v>5825</v>
      </c>
      <c r="E11" s="438">
        <f t="shared" si="0"/>
        <v>0</v>
      </c>
      <c r="F11" s="496">
        <f>125523.39+70967.88+40563</f>
        <v>237054.27000000002</v>
      </c>
      <c r="G11" s="445">
        <v>236696.67</v>
      </c>
      <c r="H11" s="438">
        <f t="shared" si="1"/>
        <v>357.60000000000582</v>
      </c>
      <c r="I11" s="496">
        <v>20.78</v>
      </c>
      <c r="J11" s="446">
        <v>20.78</v>
      </c>
      <c r="K11" s="496">
        <v>121043.5</v>
      </c>
      <c r="L11" s="445">
        <v>121043.5</v>
      </c>
      <c r="M11" s="438">
        <f t="shared" si="2"/>
        <v>0</v>
      </c>
      <c r="N11" s="447">
        <f t="shared" si="3"/>
        <v>0</v>
      </c>
      <c r="O11" s="496">
        <v>20.78</v>
      </c>
      <c r="P11" s="446">
        <v>20.78</v>
      </c>
      <c r="Q11" s="438">
        <f t="shared" si="4"/>
        <v>0</v>
      </c>
      <c r="R11" s="448">
        <f t="shared" si="5"/>
        <v>0</v>
      </c>
      <c r="S11" s="496">
        <v>121043.5</v>
      </c>
      <c r="T11" s="445">
        <v>121043.5</v>
      </c>
      <c r="U11" s="438">
        <f t="shared" si="6"/>
        <v>0</v>
      </c>
      <c r="V11" s="448">
        <f t="shared" si="7"/>
        <v>0</v>
      </c>
      <c r="W11" s="496">
        <f>125523.39+70967.88+40563</f>
        <v>237054.27000000002</v>
      </c>
      <c r="X11" s="445">
        <v>236696.67</v>
      </c>
      <c r="Y11" s="438">
        <f t="shared" si="8"/>
        <v>357.60000000000582</v>
      </c>
    </row>
    <row r="12" spans="1:26" s="229" customFormat="1">
      <c r="A12" s="443"/>
      <c r="B12" s="235" t="s">
        <v>306</v>
      </c>
      <c r="C12" s="495">
        <v>9750</v>
      </c>
      <c r="D12" s="444">
        <v>9750</v>
      </c>
      <c r="E12" s="438">
        <f t="shared" si="0"/>
        <v>0</v>
      </c>
      <c r="F12" s="496">
        <f>67848.64+35468.07</f>
        <v>103316.70999999999</v>
      </c>
      <c r="G12" s="445">
        <v>111420.07</v>
      </c>
      <c r="H12" s="438">
        <f t="shared" si="1"/>
        <v>-8103.3600000000151</v>
      </c>
      <c r="I12" s="496">
        <v>9.2200000000000006</v>
      </c>
      <c r="J12" s="446">
        <v>9.2200000000000006</v>
      </c>
      <c r="K12" s="496">
        <v>89895</v>
      </c>
      <c r="L12" s="445">
        <v>89895</v>
      </c>
      <c r="M12" s="438">
        <f t="shared" si="2"/>
        <v>0</v>
      </c>
      <c r="N12" s="447">
        <f t="shared" si="3"/>
        <v>0</v>
      </c>
      <c r="O12" s="496">
        <v>9.2200000000000006</v>
      </c>
      <c r="P12" s="446">
        <v>9.2200000000000006</v>
      </c>
      <c r="Q12" s="438">
        <f t="shared" si="4"/>
        <v>0</v>
      </c>
      <c r="R12" s="448">
        <f t="shared" si="5"/>
        <v>0</v>
      </c>
      <c r="S12" s="496">
        <v>89895</v>
      </c>
      <c r="T12" s="445">
        <v>89895</v>
      </c>
      <c r="U12" s="438">
        <f t="shared" si="6"/>
        <v>0</v>
      </c>
      <c r="V12" s="448">
        <f t="shared" si="7"/>
        <v>0</v>
      </c>
      <c r="W12" s="496">
        <f>67848.64+35468.07</f>
        <v>103316.70999999999</v>
      </c>
      <c r="X12" s="445">
        <v>111420.07</v>
      </c>
      <c r="Y12" s="438">
        <f t="shared" si="8"/>
        <v>-8103.3600000000151</v>
      </c>
    </row>
    <row r="13" spans="1:26" s="229" customFormat="1">
      <c r="A13" s="443"/>
      <c r="B13" s="235" t="s">
        <v>307</v>
      </c>
      <c r="C13" s="495">
        <v>5625</v>
      </c>
      <c r="D13" s="444">
        <v>5625</v>
      </c>
      <c r="E13" s="438">
        <f t="shared" si="0"/>
        <v>0</v>
      </c>
      <c r="F13" s="496">
        <f>143534+16632+54057.89</f>
        <v>214223.89</v>
      </c>
      <c r="G13" s="445">
        <v>214223.89</v>
      </c>
      <c r="H13" s="438">
        <f t="shared" si="1"/>
        <v>0</v>
      </c>
      <c r="I13" s="496">
        <v>55.18</v>
      </c>
      <c r="J13" s="446">
        <v>55.18</v>
      </c>
      <c r="K13" s="496">
        <v>310387.5</v>
      </c>
      <c r="L13" s="445">
        <v>310387.5</v>
      </c>
      <c r="M13" s="438">
        <f t="shared" si="2"/>
        <v>0</v>
      </c>
      <c r="N13" s="447">
        <f t="shared" si="3"/>
        <v>0</v>
      </c>
      <c r="O13" s="496">
        <v>55.18</v>
      </c>
      <c r="P13" s="446">
        <v>55.18</v>
      </c>
      <c r="Q13" s="438">
        <f t="shared" si="4"/>
        <v>0</v>
      </c>
      <c r="R13" s="448">
        <f t="shared" si="5"/>
        <v>0</v>
      </c>
      <c r="S13" s="496">
        <v>310387.5</v>
      </c>
      <c r="T13" s="445">
        <v>310387.5</v>
      </c>
      <c r="U13" s="438">
        <f t="shared" si="6"/>
        <v>0</v>
      </c>
      <c r="V13" s="448">
        <f t="shared" si="7"/>
        <v>0</v>
      </c>
      <c r="W13" s="496">
        <f>143534+16632+54057.89</f>
        <v>214223.89</v>
      </c>
      <c r="X13" s="445">
        <v>214223.89</v>
      </c>
      <c r="Y13" s="438">
        <f t="shared" si="8"/>
        <v>0</v>
      </c>
    </row>
    <row r="14" spans="1:26" s="229" customFormat="1">
      <c r="A14" s="443"/>
      <c r="B14" s="235" t="s">
        <v>308</v>
      </c>
      <c r="C14" s="495">
        <v>5000</v>
      </c>
      <c r="D14" s="444">
        <v>5000</v>
      </c>
      <c r="E14" s="438">
        <f t="shared" si="0"/>
        <v>0</v>
      </c>
      <c r="F14" s="496">
        <f>59956.28+60033.92+39416</f>
        <v>159406.20000000001</v>
      </c>
      <c r="G14" s="445">
        <v>159406.20000000001</v>
      </c>
      <c r="H14" s="438">
        <f t="shared" si="1"/>
        <v>0</v>
      </c>
      <c r="I14" s="496">
        <v>36.5</v>
      </c>
      <c r="J14" s="446">
        <v>36.5</v>
      </c>
      <c r="K14" s="496">
        <v>182500</v>
      </c>
      <c r="L14" s="445">
        <v>182500</v>
      </c>
      <c r="M14" s="438">
        <f t="shared" si="2"/>
        <v>0</v>
      </c>
      <c r="N14" s="447">
        <f t="shared" si="3"/>
        <v>0</v>
      </c>
      <c r="O14" s="496">
        <v>36.5</v>
      </c>
      <c r="P14" s="446">
        <v>36.5</v>
      </c>
      <c r="Q14" s="438">
        <f t="shared" si="4"/>
        <v>0</v>
      </c>
      <c r="R14" s="448">
        <f t="shared" si="5"/>
        <v>0</v>
      </c>
      <c r="S14" s="496">
        <v>182500</v>
      </c>
      <c r="T14" s="445">
        <v>182500</v>
      </c>
      <c r="U14" s="438">
        <f t="shared" si="6"/>
        <v>0</v>
      </c>
      <c r="V14" s="448">
        <f t="shared" si="7"/>
        <v>0</v>
      </c>
      <c r="W14" s="496">
        <f>59956.28+60033.92+39416</f>
        <v>159406.20000000001</v>
      </c>
      <c r="X14" s="445">
        <v>159406.20000000001</v>
      </c>
      <c r="Y14" s="438">
        <f t="shared" si="8"/>
        <v>0</v>
      </c>
    </row>
    <row r="15" spans="1:26" s="229" customFormat="1">
      <c r="A15" s="443"/>
      <c r="B15" s="235" t="s">
        <v>309</v>
      </c>
      <c r="C15" s="495">
        <v>3975</v>
      </c>
      <c r="D15" s="444">
        <v>3975</v>
      </c>
      <c r="E15" s="438">
        <f t="shared" si="0"/>
        <v>0</v>
      </c>
      <c r="F15" s="496">
        <f>60447.87+99909.3+68705+45659.37</f>
        <v>274721.54000000004</v>
      </c>
      <c r="G15" s="445">
        <v>274721.53999999998</v>
      </c>
      <c r="H15" s="438">
        <f t="shared" si="1"/>
        <v>0</v>
      </c>
      <c r="I15" s="496">
        <v>87.19</v>
      </c>
      <c r="J15" s="446">
        <v>87.19</v>
      </c>
      <c r="K15" s="496">
        <v>346580.25</v>
      </c>
      <c r="L15" s="445">
        <v>346580.25</v>
      </c>
      <c r="M15" s="438">
        <f t="shared" si="2"/>
        <v>0</v>
      </c>
      <c r="N15" s="447">
        <f t="shared" si="3"/>
        <v>0</v>
      </c>
      <c r="O15" s="496">
        <v>87.19</v>
      </c>
      <c r="P15" s="446">
        <v>87.19</v>
      </c>
      <c r="Q15" s="438">
        <f t="shared" si="4"/>
        <v>0</v>
      </c>
      <c r="R15" s="448">
        <f t="shared" si="5"/>
        <v>0</v>
      </c>
      <c r="S15" s="496">
        <v>346580.25</v>
      </c>
      <c r="T15" s="445">
        <v>346580.25</v>
      </c>
      <c r="U15" s="438">
        <f t="shared" si="6"/>
        <v>0</v>
      </c>
      <c r="V15" s="448">
        <f t="shared" si="7"/>
        <v>0</v>
      </c>
      <c r="W15" s="496">
        <f>60447.87+99909.3+68705+45659.37</f>
        <v>274721.54000000004</v>
      </c>
      <c r="X15" s="445">
        <v>274721.53999999998</v>
      </c>
      <c r="Y15" s="438">
        <f t="shared" si="8"/>
        <v>0</v>
      </c>
    </row>
    <row r="16" spans="1:26" s="229" customFormat="1">
      <c r="A16" s="443"/>
      <c r="B16" s="235" t="s">
        <v>310</v>
      </c>
      <c r="C16" s="495">
        <v>3100</v>
      </c>
      <c r="D16" s="444">
        <v>3100</v>
      </c>
      <c r="E16" s="438">
        <f t="shared" si="0"/>
        <v>0</v>
      </c>
      <c r="F16" s="496">
        <v>223848.08</v>
      </c>
      <c r="G16" s="445">
        <v>223848.08</v>
      </c>
      <c r="H16" s="438">
        <f t="shared" si="1"/>
        <v>0</v>
      </c>
      <c r="I16" s="496">
        <v>72.34</v>
      </c>
      <c r="J16" s="446">
        <v>72.34</v>
      </c>
      <c r="K16" s="496">
        <v>224254</v>
      </c>
      <c r="L16" s="445">
        <v>224254</v>
      </c>
      <c r="M16" s="438">
        <f t="shared" si="2"/>
        <v>0</v>
      </c>
      <c r="N16" s="447">
        <f t="shared" si="3"/>
        <v>0</v>
      </c>
      <c r="O16" s="496">
        <v>72.34</v>
      </c>
      <c r="P16" s="446">
        <v>72.34</v>
      </c>
      <c r="Q16" s="438">
        <f t="shared" si="4"/>
        <v>0</v>
      </c>
      <c r="R16" s="448">
        <f t="shared" si="5"/>
        <v>0</v>
      </c>
      <c r="S16" s="496">
        <v>224254</v>
      </c>
      <c r="T16" s="445">
        <v>224254</v>
      </c>
      <c r="U16" s="438">
        <f t="shared" si="6"/>
        <v>0</v>
      </c>
      <c r="V16" s="448">
        <f t="shared" si="7"/>
        <v>0</v>
      </c>
      <c r="W16" s="496">
        <v>223848.08</v>
      </c>
      <c r="X16" s="445">
        <v>223848.08</v>
      </c>
      <c r="Y16" s="438">
        <f t="shared" si="8"/>
        <v>0</v>
      </c>
    </row>
    <row r="17" spans="1:25" s="229" customFormat="1">
      <c r="A17" s="443"/>
      <c r="B17" s="235" t="s">
        <v>311</v>
      </c>
      <c r="C17" s="495">
        <v>8400</v>
      </c>
      <c r="D17" s="444">
        <v>8400</v>
      </c>
      <c r="E17" s="438">
        <f t="shared" si="0"/>
        <v>0</v>
      </c>
      <c r="F17" s="496">
        <v>259827</v>
      </c>
      <c r="G17" s="445">
        <v>259827</v>
      </c>
      <c r="H17" s="438">
        <f t="shared" si="1"/>
        <v>0</v>
      </c>
      <c r="I17" s="496">
        <v>40.53</v>
      </c>
      <c r="J17" s="446">
        <v>40.53</v>
      </c>
      <c r="K17" s="496">
        <v>340452</v>
      </c>
      <c r="L17" s="445">
        <v>340452</v>
      </c>
      <c r="M17" s="438">
        <f t="shared" si="2"/>
        <v>0</v>
      </c>
      <c r="N17" s="447">
        <f t="shared" si="3"/>
        <v>0</v>
      </c>
      <c r="O17" s="496">
        <v>40.53</v>
      </c>
      <c r="P17" s="446">
        <v>40.53</v>
      </c>
      <c r="Q17" s="438">
        <f t="shared" si="4"/>
        <v>0</v>
      </c>
      <c r="R17" s="448">
        <f t="shared" si="5"/>
        <v>0</v>
      </c>
      <c r="S17" s="496">
        <v>340452</v>
      </c>
      <c r="T17" s="445">
        <v>340452</v>
      </c>
      <c r="U17" s="438">
        <f t="shared" si="6"/>
        <v>0</v>
      </c>
      <c r="V17" s="448">
        <f t="shared" si="7"/>
        <v>0</v>
      </c>
      <c r="W17" s="496">
        <v>259827</v>
      </c>
      <c r="X17" s="445">
        <v>259827</v>
      </c>
      <c r="Y17" s="438">
        <f t="shared" si="8"/>
        <v>0</v>
      </c>
    </row>
    <row r="18" spans="1:25" s="229" customFormat="1">
      <c r="A18" s="443"/>
      <c r="B18" s="235" t="s">
        <v>312</v>
      </c>
      <c r="C18" s="495">
        <v>10250</v>
      </c>
      <c r="D18" s="444">
        <v>10250</v>
      </c>
      <c r="E18" s="438">
        <f t="shared" si="0"/>
        <v>0</v>
      </c>
      <c r="F18" s="496">
        <f>50165.73+51912.32+43282.57+43042.56</f>
        <v>188403.18</v>
      </c>
      <c r="G18" s="445">
        <v>188403.19</v>
      </c>
      <c r="H18" s="438">
        <f t="shared" si="1"/>
        <v>-1.0000000009313226E-2</v>
      </c>
      <c r="I18" s="496">
        <v>22.73</v>
      </c>
      <c r="J18" s="446">
        <v>22.73</v>
      </c>
      <c r="K18" s="496">
        <v>232982.5</v>
      </c>
      <c r="L18" s="445">
        <v>232982.5</v>
      </c>
      <c r="M18" s="438">
        <f t="shared" si="2"/>
        <v>0</v>
      </c>
      <c r="N18" s="447">
        <f t="shared" si="3"/>
        <v>0</v>
      </c>
      <c r="O18" s="496">
        <v>22.73</v>
      </c>
      <c r="P18" s="446">
        <v>22.73</v>
      </c>
      <c r="Q18" s="438">
        <f t="shared" si="4"/>
        <v>0</v>
      </c>
      <c r="R18" s="448">
        <f t="shared" si="5"/>
        <v>0</v>
      </c>
      <c r="S18" s="496">
        <v>232982.5</v>
      </c>
      <c r="T18" s="445">
        <v>232982.5</v>
      </c>
      <c r="U18" s="438">
        <f t="shared" si="6"/>
        <v>0</v>
      </c>
      <c r="V18" s="448">
        <f t="shared" si="7"/>
        <v>0</v>
      </c>
      <c r="W18" s="496">
        <f>50165.73+51912.32+43282.57+43042.56</f>
        <v>188403.18</v>
      </c>
      <c r="X18" s="445">
        <v>188403.19</v>
      </c>
      <c r="Y18" s="438">
        <f t="shared" si="8"/>
        <v>-1.0000000009313226E-2</v>
      </c>
    </row>
    <row r="19" spans="1:25" s="229" customFormat="1">
      <c r="A19" s="443"/>
      <c r="B19" s="235" t="s">
        <v>313</v>
      </c>
      <c r="C19" s="495">
        <v>11475</v>
      </c>
      <c r="D19" s="444">
        <v>11475</v>
      </c>
      <c r="E19" s="438">
        <f t="shared" si="0"/>
        <v>0</v>
      </c>
      <c r="F19" s="496">
        <f>36634.6+5641.31+61293.09+42598.75+11491.97+41514</f>
        <v>199173.72</v>
      </c>
      <c r="G19" s="445">
        <v>199173.72</v>
      </c>
      <c r="H19" s="438">
        <f t="shared" si="1"/>
        <v>0</v>
      </c>
      <c r="I19" s="496">
        <v>16.07</v>
      </c>
      <c r="J19" s="446">
        <v>16.07</v>
      </c>
      <c r="K19" s="496">
        <v>184403.25</v>
      </c>
      <c r="L19" s="445">
        <v>184403.25</v>
      </c>
      <c r="M19" s="438">
        <f t="shared" si="2"/>
        <v>0</v>
      </c>
      <c r="N19" s="447">
        <f t="shared" si="3"/>
        <v>0</v>
      </c>
      <c r="O19" s="496">
        <v>16.07</v>
      </c>
      <c r="P19" s="446">
        <v>16.07</v>
      </c>
      <c r="Q19" s="438">
        <f t="shared" si="4"/>
        <v>0</v>
      </c>
      <c r="R19" s="448">
        <f>SUM(Q19/P19)</f>
        <v>0</v>
      </c>
      <c r="S19" s="496">
        <v>184403.25</v>
      </c>
      <c r="T19" s="445">
        <v>184403.25</v>
      </c>
      <c r="U19" s="438">
        <f t="shared" si="6"/>
        <v>0</v>
      </c>
      <c r="V19" s="448">
        <f t="shared" si="7"/>
        <v>0</v>
      </c>
      <c r="W19" s="496">
        <f>36634.6+5641.31+61293.09+42598.75+11491.97+41514</f>
        <v>199173.72</v>
      </c>
      <c r="X19" s="445">
        <v>199173.72</v>
      </c>
      <c r="Y19" s="438">
        <f t="shared" si="8"/>
        <v>0</v>
      </c>
    </row>
    <row r="20" spans="1:25" s="229" customFormat="1">
      <c r="A20" s="443"/>
      <c r="B20" s="235" t="s">
        <v>314</v>
      </c>
      <c r="C20" s="495">
        <v>16375</v>
      </c>
      <c r="D20" s="444">
        <v>16375</v>
      </c>
      <c r="E20" s="438">
        <f t="shared" si="0"/>
        <v>0</v>
      </c>
      <c r="F20" s="496">
        <f>107809.23+60658.55+8023.1</f>
        <v>176490.88</v>
      </c>
      <c r="G20" s="445">
        <v>176490.88</v>
      </c>
      <c r="H20" s="438">
        <f t="shared" si="1"/>
        <v>0</v>
      </c>
      <c r="I20" s="496">
        <v>3.54</v>
      </c>
      <c r="J20" s="446">
        <v>3.54</v>
      </c>
      <c r="K20" s="496">
        <v>57967.5</v>
      </c>
      <c r="L20" s="445">
        <v>57967.5</v>
      </c>
      <c r="M20" s="438">
        <f t="shared" si="2"/>
        <v>0</v>
      </c>
      <c r="N20" s="447">
        <f t="shared" si="3"/>
        <v>0</v>
      </c>
      <c r="O20" s="496">
        <v>3.54</v>
      </c>
      <c r="P20" s="446">
        <v>3.54</v>
      </c>
      <c r="Q20" s="438">
        <f t="shared" si="4"/>
        <v>0</v>
      </c>
      <c r="R20" s="448">
        <f t="shared" si="5"/>
        <v>0</v>
      </c>
      <c r="S20" s="496">
        <v>57967.5</v>
      </c>
      <c r="T20" s="445">
        <v>57967.5</v>
      </c>
      <c r="U20" s="438">
        <f t="shared" si="6"/>
        <v>0</v>
      </c>
      <c r="V20" s="448">
        <f t="shared" si="7"/>
        <v>0</v>
      </c>
      <c r="W20" s="496">
        <f>107809.23+60658.55+8023.1</f>
        <v>176490.88</v>
      </c>
      <c r="X20" s="445">
        <v>176490.88</v>
      </c>
      <c r="Y20" s="438">
        <f t="shared" si="8"/>
        <v>0</v>
      </c>
    </row>
    <row r="21" spans="1:25" s="229" customFormat="1">
      <c r="A21" s="443"/>
      <c r="B21" s="235" t="s">
        <v>315</v>
      </c>
      <c r="C21" s="495">
        <v>9500</v>
      </c>
      <c r="D21" s="444">
        <v>9500</v>
      </c>
      <c r="E21" s="438">
        <f t="shared" si="0"/>
        <v>0</v>
      </c>
      <c r="F21" s="496">
        <v>99584.65</v>
      </c>
      <c r="G21" s="445">
        <v>99584.65</v>
      </c>
      <c r="H21" s="438">
        <f t="shared" si="1"/>
        <v>0</v>
      </c>
      <c r="I21" s="496">
        <v>11.93</v>
      </c>
      <c r="J21" s="446">
        <v>11.93</v>
      </c>
      <c r="K21" s="496">
        <v>113335</v>
      </c>
      <c r="L21" s="445">
        <v>113335</v>
      </c>
      <c r="M21" s="438">
        <f t="shared" si="2"/>
        <v>0</v>
      </c>
      <c r="N21" s="447">
        <f t="shared" si="3"/>
        <v>0</v>
      </c>
      <c r="O21" s="496">
        <v>11.93</v>
      </c>
      <c r="P21" s="446">
        <v>11.93</v>
      </c>
      <c r="Q21" s="438">
        <f t="shared" si="4"/>
        <v>0</v>
      </c>
      <c r="R21" s="448">
        <f t="shared" si="5"/>
        <v>0</v>
      </c>
      <c r="S21" s="496">
        <v>113335</v>
      </c>
      <c r="T21" s="445">
        <v>113335</v>
      </c>
      <c r="U21" s="438">
        <f t="shared" si="6"/>
        <v>0</v>
      </c>
      <c r="V21" s="448">
        <f t="shared" si="7"/>
        <v>0</v>
      </c>
      <c r="W21" s="496">
        <v>99584.65</v>
      </c>
      <c r="X21" s="445">
        <v>99584.65</v>
      </c>
      <c r="Y21" s="438">
        <f t="shared" si="8"/>
        <v>0</v>
      </c>
    </row>
    <row r="22" spans="1:25" s="229" customFormat="1">
      <c r="A22" s="443"/>
      <c r="B22" s="235" t="s">
        <v>316</v>
      </c>
      <c r="C22" s="495">
        <v>8600</v>
      </c>
      <c r="D22" s="444">
        <v>8600</v>
      </c>
      <c r="E22" s="438">
        <f t="shared" si="0"/>
        <v>0</v>
      </c>
      <c r="F22" s="496">
        <v>236498.36</v>
      </c>
      <c r="G22" s="445">
        <v>236498.36</v>
      </c>
      <c r="H22" s="438">
        <f t="shared" si="1"/>
        <v>0</v>
      </c>
      <c r="I22" s="496">
        <v>36.71</v>
      </c>
      <c r="J22" s="446">
        <v>36.71</v>
      </c>
      <c r="K22" s="496">
        <v>315706</v>
      </c>
      <c r="L22" s="445">
        <v>315706</v>
      </c>
      <c r="M22" s="438">
        <f t="shared" si="2"/>
        <v>0</v>
      </c>
      <c r="N22" s="447">
        <f t="shared" si="3"/>
        <v>0</v>
      </c>
      <c r="O22" s="496">
        <v>36.71</v>
      </c>
      <c r="P22" s="446">
        <v>36.71</v>
      </c>
      <c r="Q22" s="438">
        <f t="shared" si="4"/>
        <v>0</v>
      </c>
      <c r="R22" s="448">
        <f t="shared" si="5"/>
        <v>0</v>
      </c>
      <c r="S22" s="496">
        <v>315706</v>
      </c>
      <c r="T22" s="445">
        <v>315706</v>
      </c>
      <c r="U22" s="438">
        <f t="shared" si="6"/>
        <v>0</v>
      </c>
      <c r="V22" s="448">
        <f t="shared" si="7"/>
        <v>0</v>
      </c>
      <c r="W22" s="496">
        <v>236498.36</v>
      </c>
      <c r="X22" s="445">
        <v>236498.36</v>
      </c>
      <c r="Y22" s="438">
        <f t="shared" si="8"/>
        <v>0</v>
      </c>
    </row>
    <row r="23" spans="1:25" s="229" customFormat="1">
      <c r="A23" s="443"/>
      <c r="B23" s="235" t="s">
        <v>317</v>
      </c>
      <c r="C23" s="495">
        <v>2075</v>
      </c>
      <c r="D23" s="444">
        <v>2075</v>
      </c>
      <c r="E23" s="438">
        <f t="shared" si="0"/>
        <v>0</v>
      </c>
      <c r="F23" s="496">
        <v>197398.96</v>
      </c>
      <c r="G23" s="445">
        <v>197398.96</v>
      </c>
      <c r="H23" s="438">
        <f t="shared" si="1"/>
        <v>0</v>
      </c>
      <c r="I23" s="496">
        <v>141.08000000000001</v>
      </c>
      <c r="J23" s="446">
        <v>141.08000000000001</v>
      </c>
      <c r="K23" s="496">
        <v>292741</v>
      </c>
      <c r="L23" s="445">
        <v>292741</v>
      </c>
      <c r="M23" s="438">
        <f t="shared" si="2"/>
        <v>0</v>
      </c>
      <c r="N23" s="447">
        <f t="shared" si="3"/>
        <v>0</v>
      </c>
      <c r="O23" s="496">
        <v>141.08000000000001</v>
      </c>
      <c r="P23" s="446">
        <v>141.08000000000001</v>
      </c>
      <c r="Q23" s="438">
        <f t="shared" si="4"/>
        <v>0</v>
      </c>
      <c r="R23" s="448">
        <f t="shared" si="5"/>
        <v>0</v>
      </c>
      <c r="S23" s="496">
        <v>292741</v>
      </c>
      <c r="T23" s="445">
        <v>292741</v>
      </c>
      <c r="U23" s="438">
        <f t="shared" si="6"/>
        <v>0</v>
      </c>
      <c r="V23" s="448">
        <f t="shared" si="7"/>
        <v>0</v>
      </c>
      <c r="W23" s="496">
        <v>197398.96</v>
      </c>
      <c r="X23" s="445">
        <v>197398.96</v>
      </c>
      <c r="Y23" s="438">
        <f t="shared" si="8"/>
        <v>0</v>
      </c>
    </row>
    <row r="24" spans="1:25" s="229" customFormat="1">
      <c r="A24" s="443"/>
      <c r="B24" s="235" t="s">
        <v>318</v>
      </c>
      <c r="C24" s="495">
        <v>6100</v>
      </c>
      <c r="D24" s="444">
        <v>6100</v>
      </c>
      <c r="E24" s="438">
        <f t="shared" si="0"/>
        <v>0</v>
      </c>
      <c r="F24" s="496">
        <v>233543.31</v>
      </c>
      <c r="G24" s="445">
        <v>233543.31</v>
      </c>
      <c r="H24" s="438">
        <f t="shared" si="1"/>
        <v>0</v>
      </c>
      <c r="I24" s="496">
        <v>30.28</v>
      </c>
      <c r="J24" s="446">
        <v>30.28</v>
      </c>
      <c r="K24" s="496">
        <v>184708</v>
      </c>
      <c r="L24" s="445">
        <v>184708</v>
      </c>
      <c r="M24" s="438">
        <f t="shared" si="2"/>
        <v>0</v>
      </c>
      <c r="N24" s="447">
        <f t="shared" si="3"/>
        <v>0</v>
      </c>
      <c r="O24" s="496">
        <v>30.28</v>
      </c>
      <c r="P24" s="446">
        <v>30.28</v>
      </c>
      <c r="Q24" s="438">
        <f t="shared" si="4"/>
        <v>0</v>
      </c>
      <c r="R24" s="448">
        <f t="shared" si="5"/>
        <v>0</v>
      </c>
      <c r="S24" s="496">
        <v>184708</v>
      </c>
      <c r="T24" s="445">
        <v>184708</v>
      </c>
      <c r="U24" s="438">
        <f t="shared" si="6"/>
        <v>0</v>
      </c>
      <c r="V24" s="448">
        <f t="shared" si="7"/>
        <v>0</v>
      </c>
      <c r="W24" s="496">
        <v>233543.31</v>
      </c>
      <c r="X24" s="445">
        <v>233543.31</v>
      </c>
      <c r="Y24" s="438">
        <f t="shared" si="8"/>
        <v>0</v>
      </c>
    </row>
    <row r="25" spans="1:25" s="229" customFormat="1">
      <c r="A25" s="443"/>
      <c r="B25" s="235" t="s">
        <v>319</v>
      </c>
      <c r="C25" s="495">
        <v>5950</v>
      </c>
      <c r="D25" s="444">
        <v>5950</v>
      </c>
      <c r="E25" s="438">
        <f t="shared" si="0"/>
        <v>0</v>
      </c>
      <c r="F25" s="496">
        <f>110494.36+20798.4+65052</f>
        <v>196344.76</v>
      </c>
      <c r="G25" s="445">
        <v>196634.85</v>
      </c>
      <c r="H25" s="438">
        <f t="shared" si="1"/>
        <v>-290.08999999999651</v>
      </c>
      <c r="I25" s="496">
        <v>39.770000000000003</v>
      </c>
      <c r="J25" s="446">
        <v>39.770000000000003</v>
      </c>
      <c r="K25" s="496">
        <v>236631.5</v>
      </c>
      <c r="L25" s="445">
        <v>236631.5</v>
      </c>
      <c r="M25" s="438">
        <f t="shared" si="2"/>
        <v>0</v>
      </c>
      <c r="N25" s="447">
        <f t="shared" si="3"/>
        <v>0</v>
      </c>
      <c r="O25" s="496">
        <v>39.770000000000003</v>
      </c>
      <c r="P25" s="446">
        <v>39.770000000000003</v>
      </c>
      <c r="Q25" s="438">
        <f t="shared" si="4"/>
        <v>0</v>
      </c>
      <c r="R25" s="448">
        <f t="shared" si="5"/>
        <v>0</v>
      </c>
      <c r="S25" s="496">
        <v>236631.5</v>
      </c>
      <c r="T25" s="445">
        <v>236631.5</v>
      </c>
      <c r="U25" s="438">
        <f t="shared" si="6"/>
        <v>0</v>
      </c>
      <c r="V25" s="448">
        <f t="shared" si="7"/>
        <v>0</v>
      </c>
      <c r="W25" s="496">
        <f>110494.36+20798.4+65052</f>
        <v>196344.76</v>
      </c>
      <c r="X25" s="445">
        <v>196634.85</v>
      </c>
      <c r="Y25" s="438">
        <f t="shared" si="8"/>
        <v>-290.08999999999651</v>
      </c>
    </row>
    <row r="26" spans="1:25" s="229" customFormat="1">
      <c r="A26" s="443"/>
      <c r="B26" s="235" t="s">
        <v>320</v>
      </c>
      <c r="C26" s="495">
        <v>3750</v>
      </c>
      <c r="D26" s="444">
        <v>3750</v>
      </c>
      <c r="E26" s="438">
        <f t="shared" si="0"/>
        <v>0</v>
      </c>
      <c r="F26" s="496">
        <v>165725.5</v>
      </c>
      <c r="G26" s="445">
        <v>165725.5</v>
      </c>
      <c r="H26" s="438">
        <f t="shared" si="1"/>
        <v>0</v>
      </c>
      <c r="I26" s="496">
        <v>72.09</v>
      </c>
      <c r="J26" s="446">
        <v>72.09</v>
      </c>
      <c r="K26" s="496">
        <v>270337.5</v>
      </c>
      <c r="L26" s="445">
        <v>270337.5</v>
      </c>
      <c r="M26" s="438">
        <f t="shared" si="2"/>
        <v>0</v>
      </c>
      <c r="N26" s="447">
        <f t="shared" si="3"/>
        <v>0</v>
      </c>
      <c r="O26" s="496">
        <v>72.09</v>
      </c>
      <c r="P26" s="446">
        <v>72.09</v>
      </c>
      <c r="Q26" s="438">
        <f t="shared" si="4"/>
        <v>0</v>
      </c>
      <c r="R26" s="448">
        <f t="shared" si="5"/>
        <v>0</v>
      </c>
      <c r="S26" s="496">
        <v>270337.5</v>
      </c>
      <c r="T26" s="445">
        <v>270337.5</v>
      </c>
      <c r="U26" s="438">
        <f t="shared" si="6"/>
        <v>0</v>
      </c>
      <c r="V26" s="448">
        <f t="shared" si="7"/>
        <v>0</v>
      </c>
      <c r="W26" s="496">
        <v>165725.5</v>
      </c>
      <c r="X26" s="445">
        <v>165725.5</v>
      </c>
      <c r="Y26" s="438">
        <f t="shared" si="8"/>
        <v>0</v>
      </c>
    </row>
    <row r="27" spans="1:25" s="229" customFormat="1">
      <c r="A27" s="443"/>
      <c r="B27" s="235" t="s">
        <v>321</v>
      </c>
      <c r="C27" s="495">
        <v>4000</v>
      </c>
      <c r="D27" s="444">
        <v>4000</v>
      </c>
      <c r="E27" s="438">
        <f t="shared" si="0"/>
        <v>0</v>
      </c>
      <c r="F27" s="496">
        <v>82353.600000000006</v>
      </c>
      <c r="G27" s="445">
        <v>82353.600000000006</v>
      </c>
      <c r="H27" s="438">
        <f t="shared" si="1"/>
        <v>0</v>
      </c>
      <c r="I27" s="496">
        <v>20.86</v>
      </c>
      <c r="J27" s="446">
        <v>20.86</v>
      </c>
      <c r="K27" s="496">
        <v>83440</v>
      </c>
      <c r="L27" s="445">
        <v>83440</v>
      </c>
      <c r="M27" s="438">
        <f t="shared" si="2"/>
        <v>0</v>
      </c>
      <c r="N27" s="447">
        <f t="shared" si="3"/>
        <v>0</v>
      </c>
      <c r="O27" s="496">
        <v>20.86</v>
      </c>
      <c r="P27" s="446">
        <v>20.86</v>
      </c>
      <c r="Q27" s="438">
        <f t="shared" si="4"/>
        <v>0</v>
      </c>
      <c r="R27" s="448">
        <f t="shared" si="5"/>
        <v>0</v>
      </c>
      <c r="S27" s="496">
        <v>83440</v>
      </c>
      <c r="T27" s="445">
        <v>83440</v>
      </c>
      <c r="U27" s="438">
        <f t="shared" si="6"/>
        <v>0</v>
      </c>
      <c r="V27" s="448">
        <f t="shared" si="7"/>
        <v>0</v>
      </c>
      <c r="W27" s="496">
        <v>82353.600000000006</v>
      </c>
      <c r="X27" s="445">
        <v>82353.600000000006</v>
      </c>
      <c r="Y27" s="438">
        <f t="shared" si="8"/>
        <v>0</v>
      </c>
    </row>
    <row r="28" spans="1:25" s="229" customFormat="1">
      <c r="A28" s="443"/>
      <c r="B28" s="235" t="s">
        <v>322</v>
      </c>
      <c r="C28" s="495">
        <v>2750</v>
      </c>
      <c r="D28" s="444">
        <v>2750</v>
      </c>
      <c r="E28" s="438">
        <f t="shared" si="0"/>
        <v>0</v>
      </c>
      <c r="F28" s="496">
        <f>115184.82+64869.9</f>
        <v>180054.72</v>
      </c>
      <c r="G28" s="445">
        <v>180054.72</v>
      </c>
      <c r="H28" s="438">
        <f t="shared" si="1"/>
        <v>0</v>
      </c>
      <c r="I28" s="496">
        <v>77.81</v>
      </c>
      <c r="J28" s="446">
        <v>77.81</v>
      </c>
      <c r="K28" s="496">
        <v>213977.5</v>
      </c>
      <c r="L28" s="445">
        <v>213977.5</v>
      </c>
      <c r="M28" s="438">
        <f t="shared" si="2"/>
        <v>0</v>
      </c>
      <c r="N28" s="447">
        <f t="shared" si="3"/>
        <v>0</v>
      </c>
      <c r="O28" s="496">
        <v>77.81</v>
      </c>
      <c r="P28" s="446">
        <v>77.81</v>
      </c>
      <c r="Q28" s="438">
        <f t="shared" si="4"/>
        <v>0</v>
      </c>
      <c r="R28" s="448">
        <f t="shared" si="5"/>
        <v>0</v>
      </c>
      <c r="S28" s="496">
        <v>213977.5</v>
      </c>
      <c r="T28" s="445">
        <v>213977.5</v>
      </c>
      <c r="U28" s="438">
        <f t="shared" si="6"/>
        <v>0</v>
      </c>
      <c r="V28" s="448">
        <f t="shared" si="7"/>
        <v>0</v>
      </c>
      <c r="W28" s="496">
        <f>115184.82+64869.9</f>
        <v>180054.72</v>
      </c>
      <c r="X28" s="445">
        <v>180054.72</v>
      </c>
      <c r="Y28" s="438">
        <f t="shared" si="8"/>
        <v>0</v>
      </c>
    </row>
    <row r="29" spans="1:25" s="229" customFormat="1">
      <c r="A29" s="443"/>
      <c r="B29" s="235" t="s">
        <v>323</v>
      </c>
      <c r="C29" s="495">
        <v>16175</v>
      </c>
      <c r="D29" s="444">
        <v>16175</v>
      </c>
      <c r="E29" s="438">
        <f t="shared" si="0"/>
        <v>0</v>
      </c>
      <c r="F29" s="496">
        <f>52894+75447.59+38499.3</f>
        <v>166840.89000000001</v>
      </c>
      <c r="G29" s="445">
        <v>167215.4</v>
      </c>
      <c r="H29" s="438">
        <f t="shared" si="1"/>
        <v>-374.50999999998021</v>
      </c>
      <c r="I29" s="496">
        <v>6.42</v>
      </c>
      <c r="J29" s="446">
        <v>6.42</v>
      </c>
      <c r="K29" s="496">
        <v>103843.5</v>
      </c>
      <c r="L29" s="445">
        <v>103843.5</v>
      </c>
      <c r="M29" s="438">
        <f t="shared" si="2"/>
        <v>0</v>
      </c>
      <c r="N29" s="447">
        <f t="shared" si="3"/>
        <v>0</v>
      </c>
      <c r="O29" s="496">
        <v>6.42</v>
      </c>
      <c r="P29" s="446">
        <v>6.42</v>
      </c>
      <c r="Q29" s="438">
        <f t="shared" si="4"/>
        <v>0</v>
      </c>
      <c r="R29" s="448">
        <f t="shared" si="5"/>
        <v>0</v>
      </c>
      <c r="S29" s="496">
        <v>103843.5</v>
      </c>
      <c r="T29" s="445">
        <v>103843.5</v>
      </c>
      <c r="U29" s="438">
        <f t="shared" si="6"/>
        <v>0</v>
      </c>
      <c r="V29" s="448">
        <f t="shared" si="7"/>
        <v>0</v>
      </c>
      <c r="W29" s="496">
        <f>52894+75447.59+38499.3</f>
        <v>166840.89000000001</v>
      </c>
      <c r="X29" s="445">
        <v>167215.4</v>
      </c>
      <c r="Y29" s="438">
        <f t="shared" si="8"/>
        <v>-374.50999999998021</v>
      </c>
    </row>
    <row r="30" spans="1:25" s="229" customFormat="1">
      <c r="A30" s="443"/>
      <c r="B30" s="235" t="s">
        <v>324</v>
      </c>
      <c r="C30" s="495">
        <v>10800</v>
      </c>
      <c r="D30" s="444">
        <v>10800</v>
      </c>
      <c r="E30" s="438">
        <f t="shared" si="0"/>
        <v>0</v>
      </c>
      <c r="F30" s="496">
        <v>274261.71999999997</v>
      </c>
      <c r="G30" s="445">
        <v>274261.71999999997</v>
      </c>
      <c r="H30" s="438">
        <f t="shared" si="1"/>
        <v>0</v>
      </c>
      <c r="I30" s="496">
        <v>26.48</v>
      </c>
      <c r="J30" s="446">
        <v>26.48</v>
      </c>
      <c r="K30" s="496">
        <v>285984</v>
      </c>
      <c r="L30" s="445">
        <v>285984</v>
      </c>
      <c r="M30" s="438">
        <f t="shared" si="2"/>
        <v>0</v>
      </c>
      <c r="N30" s="447">
        <f t="shared" si="3"/>
        <v>0</v>
      </c>
      <c r="O30" s="496">
        <v>26.48</v>
      </c>
      <c r="P30" s="446">
        <v>26.48</v>
      </c>
      <c r="Q30" s="438">
        <f t="shared" si="4"/>
        <v>0</v>
      </c>
      <c r="R30" s="448">
        <f t="shared" si="5"/>
        <v>0</v>
      </c>
      <c r="S30" s="496">
        <v>285984</v>
      </c>
      <c r="T30" s="445">
        <v>285984</v>
      </c>
      <c r="U30" s="438">
        <f t="shared" si="6"/>
        <v>0</v>
      </c>
      <c r="V30" s="448">
        <f t="shared" si="7"/>
        <v>0</v>
      </c>
      <c r="W30" s="496">
        <v>274261.71999999997</v>
      </c>
      <c r="X30" s="445">
        <v>274261.71999999997</v>
      </c>
      <c r="Y30" s="438">
        <f t="shared" si="8"/>
        <v>0</v>
      </c>
    </row>
    <row r="31" spans="1:25" s="229" customFormat="1">
      <c r="A31" s="443"/>
      <c r="B31" s="235" t="s">
        <v>325</v>
      </c>
      <c r="C31" s="495">
        <v>4175</v>
      </c>
      <c r="D31" s="444">
        <v>4175</v>
      </c>
      <c r="E31" s="438">
        <f t="shared" si="0"/>
        <v>0</v>
      </c>
      <c r="F31" s="496">
        <f>58127.92+20710+83404.02+63908.16+45462+18482.25+22949.01</f>
        <v>313043.36</v>
      </c>
      <c r="G31" s="445">
        <v>313043.36</v>
      </c>
      <c r="H31" s="438">
        <f t="shared" si="1"/>
        <v>0</v>
      </c>
      <c r="I31" s="496">
        <v>83.48</v>
      </c>
      <c r="J31" s="446">
        <v>83.48</v>
      </c>
      <c r="K31" s="496">
        <v>348529</v>
      </c>
      <c r="L31" s="445">
        <v>348529</v>
      </c>
      <c r="M31" s="438">
        <f t="shared" si="2"/>
        <v>0</v>
      </c>
      <c r="N31" s="447">
        <f t="shared" si="3"/>
        <v>0</v>
      </c>
      <c r="O31" s="496">
        <v>83.48</v>
      </c>
      <c r="P31" s="446">
        <v>83.48</v>
      </c>
      <c r="Q31" s="438">
        <f t="shared" si="4"/>
        <v>0</v>
      </c>
      <c r="R31" s="448">
        <f t="shared" si="5"/>
        <v>0</v>
      </c>
      <c r="S31" s="496">
        <v>348529</v>
      </c>
      <c r="T31" s="445">
        <v>348529</v>
      </c>
      <c r="U31" s="438">
        <f t="shared" si="6"/>
        <v>0</v>
      </c>
      <c r="V31" s="448">
        <f t="shared" si="7"/>
        <v>0</v>
      </c>
      <c r="W31" s="496">
        <f>58127.92+20710+83404.02+63908.16+45462+18482.25+22949.01</f>
        <v>313043.36</v>
      </c>
      <c r="X31" s="445">
        <v>313043.36</v>
      </c>
      <c r="Y31" s="438">
        <f t="shared" si="8"/>
        <v>0</v>
      </c>
    </row>
    <row r="32" spans="1:25" s="229" customFormat="1">
      <c r="A32" s="443"/>
      <c r="B32" s="235" t="s">
        <v>326</v>
      </c>
      <c r="C32" s="495">
        <v>6075</v>
      </c>
      <c r="D32" s="444">
        <v>6075</v>
      </c>
      <c r="E32" s="438">
        <f t="shared" si="0"/>
        <v>0</v>
      </c>
      <c r="F32" s="496">
        <v>204050.7</v>
      </c>
      <c r="G32" s="445">
        <v>204050.7</v>
      </c>
      <c r="H32" s="438">
        <f t="shared" si="1"/>
        <v>0</v>
      </c>
      <c r="I32" s="496">
        <v>43.68</v>
      </c>
      <c r="J32" s="446">
        <v>43.68</v>
      </c>
      <c r="K32" s="496">
        <v>265356</v>
      </c>
      <c r="L32" s="445">
        <v>265356</v>
      </c>
      <c r="M32" s="438">
        <f t="shared" si="2"/>
        <v>0</v>
      </c>
      <c r="N32" s="447">
        <f t="shared" si="3"/>
        <v>0</v>
      </c>
      <c r="O32" s="496">
        <v>43.68</v>
      </c>
      <c r="P32" s="446">
        <v>43.68</v>
      </c>
      <c r="Q32" s="438">
        <f t="shared" si="4"/>
        <v>0</v>
      </c>
      <c r="R32" s="448">
        <f t="shared" si="5"/>
        <v>0</v>
      </c>
      <c r="S32" s="496">
        <v>265356</v>
      </c>
      <c r="T32" s="445">
        <v>265356</v>
      </c>
      <c r="U32" s="438">
        <f t="shared" si="6"/>
        <v>0</v>
      </c>
      <c r="V32" s="448">
        <f t="shared" si="7"/>
        <v>0</v>
      </c>
      <c r="W32" s="496">
        <v>204050.7</v>
      </c>
      <c r="X32" s="445">
        <v>204050.7</v>
      </c>
      <c r="Y32" s="438">
        <f t="shared" si="8"/>
        <v>0</v>
      </c>
    </row>
    <row r="33" spans="1:25" s="229" customFormat="1">
      <c r="A33" s="443"/>
      <c r="B33" s="235" t="s">
        <v>327</v>
      </c>
      <c r="C33" s="495">
        <v>3550</v>
      </c>
      <c r="D33" s="444">
        <v>3550</v>
      </c>
      <c r="E33" s="438">
        <f t="shared" si="0"/>
        <v>0</v>
      </c>
      <c r="F33" s="496">
        <v>122262</v>
      </c>
      <c r="G33" s="445">
        <v>122262</v>
      </c>
      <c r="H33" s="438">
        <f t="shared" si="1"/>
        <v>0</v>
      </c>
      <c r="I33" s="496">
        <v>33.11</v>
      </c>
      <c r="J33" s="446">
        <v>33.11</v>
      </c>
      <c r="K33" s="496">
        <v>117540.5</v>
      </c>
      <c r="L33" s="445">
        <v>117540.5</v>
      </c>
      <c r="M33" s="438">
        <f t="shared" si="2"/>
        <v>0</v>
      </c>
      <c r="N33" s="447">
        <f t="shared" si="3"/>
        <v>0</v>
      </c>
      <c r="O33" s="496">
        <v>33.11</v>
      </c>
      <c r="P33" s="446">
        <v>33.11</v>
      </c>
      <c r="Q33" s="438">
        <f t="shared" si="4"/>
        <v>0</v>
      </c>
      <c r="R33" s="448">
        <f t="shared" si="5"/>
        <v>0</v>
      </c>
      <c r="S33" s="496">
        <v>117540.5</v>
      </c>
      <c r="T33" s="445">
        <v>117540.5</v>
      </c>
      <c r="U33" s="438">
        <f t="shared" si="6"/>
        <v>0</v>
      </c>
      <c r="V33" s="448">
        <f t="shared" si="7"/>
        <v>0</v>
      </c>
      <c r="W33" s="496">
        <v>122262</v>
      </c>
      <c r="X33" s="445">
        <v>122262</v>
      </c>
      <c r="Y33" s="438">
        <f t="shared" si="8"/>
        <v>0</v>
      </c>
    </row>
    <row r="34" spans="1:25" s="229" customFormat="1">
      <c r="A34" s="443"/>
      <c r="B34" s="235" t="s">
        <v>328</v>
      </c>
      <c r="C34" s="495">
        <v>12800</v>
      </c>
      <c r="D34" s="444">
        <v>12800</v>
      </c>
      <c r="E34" s="438">
        <f t="shared" si="0"/>
        <v>0</v>
      </c>
      <c r="F34" s="496">
        <v>90139.42</v>
      </c>
      <c r="G34" s="445">
        <v>90139.42</v>
      </c>
      <c r="H34" s="438">
        <f t="shared" si="1"/>
        <v>0</v>
      </c>
      <c r="I34" s="496">
        <v>6.75</v>
      </c>
      <c r="J34" s="446">
        <v>6.75</v>
      </c>
      <c r="K34" s="496">
        <v>86400</v>
      </c>
      <c r="L34" s="445">
        <v>86400</v>
      </c>
      <c r="M34" s="438">
        <f t="shared" si="2"/>
        <v>0</v>
      </c>
      <c r="N34" s="447">
        <f t="shared" si="3"/>
        <v>0</v>
      </c>
      <c r="O34" s="496">
        <v>6.75</v>
      </c>
      <c r="P34" s="446">
        <v>6.75</v>
      </c>
      <c r="Q34" s="438">
        <f t="shared" si="4"/>
        <v>0</v>
      </c>
      <c r="R34" s="448">
        <f t="shared" si="5"/>
        <v>0</v>
      </c>
      <c r="S34" s="496">
        <v>86400</v>
      </c>
      <c r="T34" s="445">
        <v>86400</v>
      </c>
      <c r="U34" s="438">
        <f t="shared" si="6"/>
        <v>0</v>
      </c>
      <c r="V34" s="448">
        <f t="shared" si="7"/>
        <v>0</v>
      </c>
      <c r="W34" s="496">
        <v>90139.42</v>
      </c>
      <c r="X34" s="445">
        <v>90139.42</v>
      </c>
      <c r="Y34" s="438">
        <f t="shared" si="8"/>
        <v>0</v>
      </c>
    </row>
    <row r="35" spans="1:25" s="229" customFormat="1">
      <c r="A35" s="443"/>
      <c r="B35" s="235" t="s">
        <v>329</v>
      </c>
      <c r="C35" s="495">
        <v>2400</v>
      </c>
      <c r="D35" s="444">
        <v>2400</v>
      </c>
      <c r="E35" s="438">
        <f t="shared" si="0"/>
        <v>0</v>
      </c>
      <c r="F35" s="496">
        <f>82901+59645+76813.25+55375.64</f>
        <v>274734.89</v>
      </c>
      <c r="G35" s="445">
        <v>274734.89</v>
      </c>
      <c r="H35" s="438">
        <f t="shared" si="1"/>
        <v>0</v>
      </c>
      <c r="I35" s="496">
        <v>108.17</v>
      </c>
      <c r="J35" s="446">
        <v>108.17</v>
      </c>
      <c r="K35" s="496">
        <v>259608</v>
      </c>
      <c r="L35" s="445">
        <v>259608</v>
      </c>
      <c r="M35" s="438">
        <f t="shared" si="2"/>
        <v>0</v>
      </c>
      <c r="N35" s="447">
        <f t="shared" si="3"/>
        <v>0</v>
      </c>
      <c r="O35" s="496">
        <v>108.17</v>
      </c>
      <c r="P35" s="446">
        <v>108.17</v>
      </c>
      <c r="Q35" s="438">
        <f t="shared" si="4"/>
        <v>0</v>
      </c>
      <c r="R35" s="448">
        <f t="shared" si="5"/>
        <v>0</v>
      </c>
      <c r="S35" s="496">
        <v>259608</v>
      </c>
      <c r="T35" s="445">
        <v>259608</v>
      </c>
      <c r="U35" s="438">
        <f t="shared" si="6"/>
        <v>0</v>
      </c>
      <c r="V35" s="448">
        <f t="shared" si="7"/>
        <v>0</v>
      </c>
      <c r="W35" s="496">
        <f>82901+59645+76813.25+55375.64</f>
        <v>274734.89</v>
      </c>
      <c r="X35" s="445">
        <v>274734.89</v>
      </c>
      <c r="Y35" s="438">
        <f t="shared" si="8"/>
        <v>0</v>
      </c>
    </row>
    <row r="36" spans="1:25" s="229" customFormat="1">
      <c r="A36" s="443"/>
      <c r="B36" s="235" t="s">
        <v>330</v>
      </c>
      <c r="C36" s="495">
        <v>3300</v>
      </c>
      <c r="D36" s="444">
        <v>3300</v>
      </c>
      <c r="E36" s="438">
        <f t="shared" si="0"/>
        <v>0</v>
      </c>
      <c r="F36" s="496">
        <f>82886.9+21190+19731</f>
        <v>123807.9</v>
      </c>
      <c r="G36" s="445">
        <v>124608.39</v>
      </c>
      <c r="H36" s="438">
        <f t="shared" si="1"/>
        <v>-800.49000000000524</v>
      </c>
      <c r="I36" s="496">
        <v>43.63</v>
      </c>
      <c r="J36" s="446">
        <v>43.63</v>
      </c>
      <c r="K36" s="496">
        <v>143979</v>
      </c>
      <c r="L36" s="445">
        <v>143979</v>
      </c>
      <c r="M36" s="438">
        <f t="shared" si="2"/>
        <v>0</v>
      </c>
      <c r="N36" s="447">
        <f t="shared" si="3"/>
        <v>0</v>
      </c>
      <c r="O36" s="496">
        <v>43.63</v>
      </c>
      <c r="P36" s="446">
        <v>43.63</v>
      </c>
      <c r="Q36" s="438">
        <f t="shared" si="4"/>
        <v>0</v>
      </c>
      <c r="R36" s="448">
        <f t="shared" si="5"/>
        <v>0</v>
      </c>
      <c r="S36" s="496">
        <v>143979</v>
      </c>
      <c r="T36" s="445">
        <v>143979</v>
      </c>
      <c r="U36" s="438">
        <f t="shared" si="6"/>
        <v>0</v>
      </c>
      <c r="V36" s="448">
        <f t="shared" si="7"/>
        <v>0</v>
      </c>
      <c r="W36" s="496">
        <f>82886.9+21190+19731</f>
        <v>123807.9</v>
      </c>
      <c r="X36" s="445">
        <v>124608.39</v>
      </c>
      <c r="Y36" s="438">
        <f t="shared" si="8"/>
        <v>-800.49000000000524</v>
      </c>
    </row>
    <row r="37" spans="1:25" s="229" customFormat="1">
      <c r="A37" s="443"/>
      <c r="B37" s="235" t="s">
        <v>331</v>
      </c>
      <c r="C37" s="495">
        <v>26100</v>
      </c>
      <c r="D37" s="444">
        <v>26100</v>
      </c>
      <c r="E37" s="438">
        <f t="shared" si="0"/>
        <v>0</v>
      </c>
      <c r="F37" s="496">
        <f>27118.32+113120.55</f>
        <v>140238.87</v>
      </c>
      <c r="G37" s="445">
        <v>141013.12</v>
      </c>
      <c r="H37" s="438">
        <f t="shared" si="1"/>
        <v>-774.25</v>
      </c>
      <c r="I37" s="496">
        <v>10.74</v>
      </c>
      <c r="J37" s="446">
        <v>10.74</v>
      </c>
      <c r="K37" s="496">
        <v>280314</v>
      </c>
      <c r="L37" s="445">
        <v>280314</v>
      </c>
      <c r="M37" s="438">
        <f t="shared" si="2"/>
        <v>0</v>
      </c>
      <c r="N37" s="447">
        <f t="shared" si="3"/>
        <v>0</v>
      </c>
      <c r="O37" s="496">
        <v>10.74</v>
      </c>
      <c r="P37" s="446">
        <v>10.74</v>
      </c>
      <c r="Q37" s="438">
        <f t="shared" si="4"/>
        <v>0</v>
      </c>
      <c r="R37" s="448">
        <f t="shared" si="5"/>
        <v>0</v>
      </c>
      <c r="S37" s="496">
        <v>280314</v>
      </c>
      <c r="T37" s="445">
        <v>280314</v>
      </c>
      <c r="U37" s="438">
        <f t="shared" si="6"/>
        <v>0</v>
      </c>
      <c r="V37" s="448">
        <f t="shared" si="7"/>
        <v>0</v>
      </c>
      <c r="W37" s="496">
        <f>27118.32+113120.55</f>
        <v>140238.87</v>
      </c>
      <c r="X37" s="445">
        <v>141013.12</v>
      </c>
      <c r="Y37" s="438">
        <f t="shared" si="8"/>
        <v>-774.25</v>
      </c>
    </row>
    <row r="38" spans="1:25" s="229" customFormat="1">
      <c r="A38" s="443"/>
      <c r="B38" s="235" t="s">
        <v>332</v>
      </c>
      <c r="C38" s="495">
        <v>8675</v>
      </c>
      <c r="D38" s="444">
        <v>8675</v>
      </c>
      <c r="E38" s="438">
        <f t="shared" si="0"/>
        <v>0</v>
      </c>
      <c r="F38" s="496">
        <v>230058.39</v>
      </c>
      <c r="G38" s="445">
        <v>230058.39</v>
      </c>
      <c r="H38" s="438">
        <f t="shared" si="1"/>
        <v>0</v>
      </c>
      <c r="I38" s="496">
        <v>40.06</v>
      </c>
      <c r="J38" s="446">
        <v>40.06</v>
      </c>
      <c r="K38" s="496">
        <v>347520.5</v>
      </c>
      <c r="L38" s="445">
        <v>347520.5</v>
      </c>
      <c r="M38" s="438">
        <f t="shared" si="2"/>
        <v>0</v>
      </c>
      <c r="N38" s="447">
        <f t="shared" si="3"/>
        <v>0</v>
      </c>
      <c r="O38" s="496">
        <v>40.06</v>
      </c>
      <c r="P38" s="446">
        <v>40.06</v>
      </c>
      <c r="Q38" s="438">
        <f t="shared" si="4"/>
        <v>0</v>
      </c>
      <c r="R38" s="448">
        <f t="shared" si="5"/>
        <v>0</v>
      </c>
      <c r="S38" s="496">
        <v>347520.5</v>
      </c>
      <c r="T38" s="445">
        <v>347520.5</v>
      </c>
      <c r="U38" s="438">
        <f t="shared" si="6"/>
        <v>0</v>
      </c>
      <c r="V38" s="448">
        <f t="shared" si="7"/>
        <v>0</v>
      </c>
      <c r="W38" s="496">
        <v>230058.39</v>
      </c>
      <c r="X38" s="445">
        <v>230058.39</v>
      </c>
      <c r="Y38" s="438">
        <f t="shared" si="8"/>
        <v>0</v>
      </c>
    </row>
    <row r="39" spans="1:25" s="229" customFormat="1">
      <c r="A39" s="443"/>
      <c r="B39" s="235" t="s">
        <v>333</v>
      </c>
      <c r="C39" s="495">
        <v>4900</v>
      </c>
      <c r="D39" s="444">
        <v>4900</v>
      </c>
      <c r="E39" s="438">
        <f t="shared" si="0"/>
        <v>0</v>
      </c>
      <c r="F39" s="496">
        <f>64360.24+54056.7</f>
        <v>118416.94</v>
      </c>
      <c r="G39" s="445">
        <v>120236.33</v>
      </c>
      <c r="H39" s="438">
        <f t="shared" si="1"/>
        <v>-1819.3899999999994</v>
      </c>
      <c r="I39" s="496">
        <v>56.86</v>
      </c>
      <c r="J39" s="446">
        <v>56.86</v>
      </c>
      <c r="K39" s="496">
        <v>278614</v>
      </c>
      <c r="L39" s="445">
        <v>278614</v>
      </c>
      <c r="M39" s="438">
        <f t="shared" si="2"/>
        <v>0</v>
      </c>
      <c r="N39" s="447">
        <f t="shared" si="3"/>
        <v>0</v>
      </c>
      <c r="O39" s="496">
        <v>56.86</v>
      </c>
      <c r="P39" s="446">
        <v>56.86</v>
      </c>
      <c r="Q39" s="438">
        <f t="shared" si="4"/>
        <v>0</v>
      </c>
      <c r="R39" s="448">
        <f t="shared" si="5"/>
        <v>0</v>
      </c>
      <c r="S39" s="496">
        <v>278614</v>
      </c>
      <c r="T39" s="445">
        <v>278614</v>
      </c>
      <c r="U39" s="438">
        <f t="shared" si="6"/>
        <v>0</v>
      </c>
      <c r="V39" s="448">
        <f t="shared" si="7"/>
        <v>0</v>
      </c>
      <c r="W39" s="496">
        <f>64360.24+54056.7</f>
        <v>118416.94</v>
      </c>
      <c r="X39" s="445">
        <v>120236.33</v>
      </c>
      <c r="Y39" s="438">
        <f t="shared" si="8"/>
        <v>-1819.3899999999994</v>
      </c>
    </row>
    <row r="40" spans="1:25" s="229" customFormat="1">
      <c r="A40" s="443"/>
      <c r="B40" s="235" t="s">
        <v>334</v>
      </c>
      <c r="C40" s="495">
        <v>6375</v>
      </c>
      <c r="D40" s="444">
        <v>6375</v>
      </c>
      <c r="E40" s="438">
        <f t="shared" si="0"/>
        <v>0</v>
      </c>
      <c r="F40" s="496">
        <f>174427+48852.22</f>
        <v>223279.22</v>
      </c>
      <c r="G40" s="445">
        <v>223279.22</v>
      </c>
      <c r="H40" s="438">
        <f t="shared" si="1"/>
        <v>0</v>
      </c>
      <c r="I40" s="496">
        <v>37.93</v>
      </c>
      <c r="J40" s="446">
        <v>37.93</v>
      </c>
      <c r="K40" s="496">
        <v>241803.75</v>
      </c>
      <c r="L40" s="445">
        <v>241803.75</v>
      </c>
      <c r="M40" s="438">
        <f t="shared" si="2"/>
        <v>0</v>
      </c>
      <c r="N40" s="447">
        <f t="shared" si="3"/>
        <v>0</v>
      </c>
      <c r="O40" s="496">
        <v>37.93</v>
      </c>
      <c r="P40" s="446">
        <v>37.93</v>
      </c>
      <c r="Q40" s="438">
        <f t="shared" si="4"/>
        <v>0</v>
      </c>
      <c r="R40" s="448">
        <f t="shared" si="5"/>
        <v>0</v>
      </c>
      <c r="S40" s="496">
        <v>241803.75</v>
      </c>
      <c r="T40" s="445">
        <v>241803.75</v>
      </c>
      <c r="U40" s="438">
        <f t="shared" si="6"/>
        <v>0</v>
      </c>
      <c r="V40" s="448">
        <f t="shared" si="7"/>
        <v>0</v>
      </c>
      <c r="W40" s="496">
        <f>174427+48852.22</f>
        <v>223279.22</v>
      </c>
      <c r="X40" s="445">
        <v>223279.22</v>
      </c>
      <c r="Y40" s="438">
        <f t="shared" si="8"/>
        <v>0</v>
      </c>
    </row>
    <row r="41" spans="1:25" s="229" customFormat="1">
      <c r="A41" s="443"/>
      <c r="B41" s="235" t="s">
        <v>335</v>
      </c>
      <c r="C41" s="495">
        <v>14000</v>
      </c>
      <c r="D41" s="444">
        <v>14000</v>
      </c>
      <c r="E41" s="438">
        <f t="shared" si="0"/>
        <v>0</v>
      </c>
      <c r="F41" s="496">
        <f>57648.9+46293.9+45480+46720+64396.5</f>
        <v>260539.3</v>
      </c>
      <c r="G41" s="445">
        <v>260539.3</v>
      </c>
      <c r="H41" s="438">
        <f t="shared" si="1"/>
        <v>0</v>
      </c>
      <c r="I41" s="496">
        <v>21.4</v>
      </c>
      <c r="J41" s="446">
        <v>21.4</v>
      </c>
      <c r="K41" s="496">
        <v>299600</v>
      </c>
      <c r="L41" s="445">
        <v>299600</v>
      </c>
      <c r="M41" s="438">
        <f t="shared" si="2"/>
        <v>0</v>
      </c>
      <c r="N41" s="447">
        <f t="shared" si="3"/>
        <v>0</v>
      </c>
      <c r="O41" s="496">
        <v>21.4</v>
      </c>
      <c r="P41" s="446">
        <v>21.4</v>
      </c>
      <c r="Q41" s="438">
        <f t="shared" si="4"/>
        <v>0</v>
      </c>
      <c r="R41" s="448">
        <f t="shared" si="5"/>
        <v>0</v>
      </c>
      <c r="S41" s="496">
        <v>299600</v>
      </c>
      <c r="T41" s="445">
        <v>299600</v>
      </c>
      <c r="U41" s="438">
        <f t="shared" si="6"/>
        <v>0</v>
      </c>
      <c r="V41" s="448">
        <f t="shared" si="7"/>
        <v>0</v>
      </c>
      <c r="W41" s="496">
        <f>57648.9+46293.9+45480+46720+64396.5</f>
        <v>260539.3</v>
      </c>
      <c r="X41" s="445">
        <v>260539.3</v>
      </c>
      <c r="Y41" s="438">
        <f t="shared" si="8"/>
        <v>0</v>
      </c>
    </row>
    <row r="42" spans="1:25" s="229" customFormat="1">
      <c r="A42" s="443"/>
      <c r="B42" s="235" t="s">
        <v>336</v>
      </c>
      <c r="C42" s="495">
        <v>17700</v>
      </c>
      <c r="D42" s="444">
        <v>17700</v>
      </c>
      <c r="E42" s="438">
        <f t="shared" si="0"/>
        <v>0</v>
      </c>
      <c r="F42" s="496">
        <v>189738</v>
      </c>
      <c r="G42" s="445">
        <v>189738</v>
      </c>
      <c r="H42" s="438">
        <f>F42-G42</f>
        <v>0</v>
      </c>
      <c r="I42" s="496">
        <v>14.24</v>
      </c>
      <c r="J42" s="446">
        <v>14.24</v>
      </c>
      <c r="K42" s="496">
        <v>252048</v>
      </c>
      <c r="L42" s="445">
        <v>252048</v>
      </c>
      <c r="M42" s="438">
        <f t="shared" si="2"/>
        <v>0</v>
      </c>
      <c r="N42" s="447">
        <f t="shared" si="3"/>
        <v>0</v>
      </c>
      <c r="O42" s="496">
        <v>14.24</v>
      </c>
      <c r="P42" s="446">
        <v>14.24</v>
      </c>
      <c r="Q42" s="438">
        <f t="shared" si="4"/>
        <v>0</v>
      </c>
      <c r="R42" s="448">
        <f t="shared" si="5"/>
        <v>0</v>
      </c>
      <c r="S42" s="496">
        <v>252048</v>
      </c>
      <c r="T42" s="445">
        <v>252048</v>
      </c>
      <c r="U42" s="438">
        <f t="shared" si="6"/>
        <v>0</v>
      </c>
      <c r="V42" s="448">
        <f t="shared" si="7"/>
        <v>0</v>
      </c>
      <c r="W42" s="496">
        <v>189738</v>
      </c>
      <c r="X42" s="445">
        <v>189738</v>
      </c>
      <c r="Y42" s="438">
        <f t="shared" si="8"/>
        <v>0</v>
      </c>
    </row>
    <row r="43" spans="1:25" s="229" customFormat="1">
      <c r="A43" s="443"/>
      <c r="B43" s="235" t="s">
        <v>337</v>
      </c>
      <c r="C43" s="495">
        <v>4200</v>
      </c>
      <c r="D43" s="444">
        <v>4200</v>
      </c>
      <c r="E43" s="438">
        <f t="shared" si="0"/>
        <v>0</v>
      </c>
      <c r="F43" s="496">
        <f>81831.79+39979.98+10244.4+17315</f>
        <v>149371.16999999998</v>
      </c>
      <c r="G43" s="445">
        <v>149394.07999999999</v>
      </c>
      <c r="H43" s="438">
        <f>F43-G43</f>
        <v>-22.910000000003492</v>
      </c>
      <c r="I43" s="496">
        <v>51.98</v>
      </c>
      <c r="J43" s="446">
        <v>51.98</v>
      </c>
      <c r="K43" s="496">
        <v>218316</v>
      </c>
      <c r="L43" s="445">
        <v>218316</v>
      </c>
      <c r="M43" s="438">
        <f t="shared" si="2"/>
        <v>0</v>
      </c>
      <c r="N43" s="447">
        <f t="shared" si="3"/>
        <v>0</v>
      </c>
      <c r="O43" s="496">
        <v>51.98</v>
      </c>
      <c r="P43" s="446">
        <v>51.98</v>
      </c>
      <c r="Q43" s="438">
        <f t="shared" si="4"/>
        <v>0</v>
      </c>
      <c r="R43" s="448">
        <f t="shared" si="5"/>
        <v>0</v>
      </c>
      <c r="S43" s="496">
        <v>218316</v>
      </c>
      <c r="T43" s="445">
        <v>218316</v>
      </c>
      <c r="U43" s="438">
        <f t="shared" si="6"/>
        <v>0</v>
      </c>
      <c r="V43" s="448">
        <f t="shared" si="7"/>
        <v>0</v>
      </c>
      <c r="W43" s="496">
        <f>81831.79+39979.98+10244.4+17315</f>
        <v>149371.16999999998</v>
      </c>
      <c r="X43" s="445">
        <v>149394.07999999999</v>
      </c>
      <c r="Y43" s="438">
        <f t="shared" si="8"/>
        <v>-22.910000000003492</v>
      </c>
    </row>
    <row r="44" spans="1:25" s="229" customFormat="1">
      <c r="A44" s="443"/>
      <c r="B44" s="235" t="s">
        <v>338</v>
      </c>
      <c r="C44" s="495">
        <v>4075</v>
      </c>
      <c r="D44" s="444">
        <v>4075</v>
      </c>
      <c r="E44" s="438">
        <f t="shared" si="0"/>
        <v>0</v>
      </c>
      <c r="F44" s="496">
        <f>15609+39002.25</f>
        <v>54611.25</v>
      </c>
      <c r="G44" s="445">
        <v>54611.25</v>
      </c>
      <c r="H44" s="438">
        <f t="shared" si="1"/>
        <v>0</v>
      </c>
      <c r="I44" s="496">
        <v>24.22</v>
      </c>
      <c r="J44" s="446">
        <v>24.22</v>
      </c>
      <c r="K44" s="496">
        <v>98696.5</v>
      </c>
      <c r="L44" s="445">
        <v>98696.5</v>
      </c>
      <c r="M44" s="438">
        <f t="shared" si="2"/>
        <v>0</v>
      </c>
      <c r="N44" s="447">
        <f t="shared" si="3"/>
        <v>0</v>
      </c>
      <c r="O44" s="496">
        <v>24.22</v>
      </c>
      <c r="P44" s="446">
        <v>24.22</v>
      </c>
      <c r="Q44" s="438">
        <f t="shared" si="4"/>
        <v>0</v>
      </c>
      <c r="R44" s="448">
        <f t="shared" si="5"/>
        <v>0</v>
      </c>
      <c r="S44" s="496">
        <v>98696.5</v>
      </c>
      <c r="T44" s="445">
        <v>98696.5</v>
      </c>
      <c r="U44" s="438">
        <f t="shared" si="6"/>
        <v>0</v>
      </c>
      <c r="V44" s="448">
        <f t="shared" si="7"/>
        <v>0</v>
      </c>
      <c r="W44" s="496">
        <f>15609+39002.25</f>
        <v>54611.25</v>
      </c>
      <c r="X44" s="445">
        <v>54611.25</v>
      </c>
      <c r="Y44" s="438">
        <f t="shared" si="8"/>
        <v>0</v>
      </c>
    </row>
    <row r="45" spans="1:25" s="229" customFormat="1">
      <c r="A45" s="443"/>
      <c r="B45" s="235" t="s">
        <v>339</v>
      </c>
      <c r="C45" s="495">
        <v>4000</v>
      </c>
      <c r="D45" s="444">
        <v>4000</v>
      </c>
      <c r="E45" s="438">
        <f t="shared" si="0"/>
        <v>0</v>
      </c>
      <c r="F45" s="496">
        <v>200037.1</v>
      </c>
      <c r="G45" s="445">
        <v>200037.1</v>
      </c>
      <c r="H45" s="438">
        <f t="shared" si="1"/>
        <v>0</v>
      </c>
      <c r="I45" s="496">
        <v>53.45</v>
      </c>
      <c r="J45" s="446">
        <v>53.45</v>
      </c>
      <c r="K45" s="496">
        <v>213800</v>
      </c>
      <c r="L45" s="445">
        <v>213800</v>
      </c>
      <c r="M45" s="438">
        <f t="shared" si="2"/>
        <v>0</v>
      </c>
      <c r="N45" s="447">
        <f t="shared" si="3"/>
        <v>0</v>
      </c>
      <c r="O45" s="496">
        <v>53.45</v>
      </c>
      <c r="P45" s="446">
        <v>53.45</v>
      </c>
      <c r="Q45" s="438">
        <f t="shared" si="4"/>
        <v>0</v>
      </c>
      <c r="R45" s="448">
        <f t="shared" si="5"/>
        <v>0</v>
      </c>
      <c r="S45" s="496">
        <v>213800</v>
      </c>
      <c r="T45" s="445">
        <v>213800</v>
      </c>
      <c r="U45" s="438">
        <f t="shared" si="6"/>
        <v>0</v>
      </c>
      <c r="V45" s="448">
        <f t="shared" si="7"/>
        <v>0</v>
      </c>
      <c r="W45" s="496">
        <v>200037.1</v>
      </c>
      <c r="X45" s="445">
        <v>200037.1</v>
      </c>
      <c r="Y45" s="438">
        <f t="shared" si="8"/>
        <v>0</v>
      </c>
    </row>
    <row r="46" spans="1:25" s="229" customFormat="1">
      <c r="A46" s="443"/>
      <c r="B46" s="235" t="s">
        <v>340</v>
      </c>
      <c r="C46" s="495">
        <v>4025</v>
      </c>
      <c r="D46" s="444">
        <v>4025</v>
      </c>
      <c r="E46" s="438">
        <f t="shared" si="0"/>
        <v>0</v>
      </c>
      <c r="F46" s="496">
        <v>185356.67</v>
      </c>
      <c r="G46" s="445">
        <v>185356.67</v>
      </c>
      <c r="H46" s="438">
        <f t="shared" si="1"/>
        <v>0</v>
      </c>
      <c r="I46" s="496">
        <v>46.55</v>
      </c>
      <c r="J46" s="446">
        <v>46.55</v>
      </c>
      <c r="K46" s="496">
        <v>187363.75</v>
      </c>
      <c r="L46" s="445">
        <v>187363.75</v>
      </c>
      <c r="M46" s="438">
        <f t="shared" si="2"/>
        <v>0</v>
      </c>
      <c r="N46" s="447">
        <f t="shared" si="3"/>
        <v>0</v>
      </c>
      <c r="O46" s="496">
        <v>46.55</v>
      </c>
      <c r="P46" s="446">
        <v>46.55</v>
      </c>
      <c r="Q46" s="438">
        <f t="shared" si="4"/>
        <v>0</v>
      </c>
      <c r="R46" s="448">
        <f t="shared" si="5"/>
        <v>0</v>
      </c>
      <c r="S46" s="496">
        <v>187363.75</v>
      </c>
      <c r="T46" s="445">
        <v>187363.75</v>
      </c>
      <c r="U46" s="438">
        <f t="shared" si="6"/>
        <v>0</v>
      </c>
      <c r="V46" s="448">
        <f t="shared" si="7"/>
        <v>0</v>
      </c>
      <c r="W46" s="496">
        <v>185356.67</v>
      </c>
      <c r="X46" s="445">
        <v>185356.67</v>
      </c>
      <c r="Y46" s="438">
        <f t="shared" si="8"/>
        <v>0</v>
      </c>
    </row>
    <row r="47" spans="1:25" s="229" customFormat="1">
      <c r="A47" s="443"/>
      <c r="B47" s="235" t="s">
        <v>341</v>
      </c>
      <c r="C47" s="495">
        <v>7300</v>
      </c>
      <c r="D47" s="444">
        <v>7300</v>
      </c>
      <c r="E47" s="438">
        <f t="shared" si="0"/>
        <v>0</v>
      </c>
      <c r="F47" s="496">
        <v>93732</v>
      </c>
      <c r="G47" s="445">
        <v>93732</v>
      </c>
      <c r="H47" s="438">
        <f t="shared" si="1"/>
        <v>0</v>
      </c>
      <c r="I47" s="496">
        <v>21.83</v>
      </c>
      <c r="J47" s="446">
        <v>21.83</v>
      </c>
      <c r="K47" s="496">
        <v>159359</v>
      </c>
      <c r="L47" s="445">
        <v>159359</v>
      </c>
      <c r="M47" s="438">
        <f t="shared" si="2"/>
        <v>0</v>
      </c>
      <c r="N47" s="447">
        <f t="shared" si="3"/>
        <v>0</v>
      </c>
      <c r="O47" s="496">
        <v>21.83</v>
      </c>
      <c r="P47" s="446">
        <v>21.83</v>
      </c>
      <c r="Q47" s="438">
        <f t="shared" si="4"/>
        <v>0</v>
      </c>
      <c r="R47" s="448">
        <f t="shared" si="5"/>
        <v>0</v>
      </c>
      <c r="S47" s="496">
        <v>159359</v>
      </c>
      <c r="T47" s="445">
        <v>159359</v>
      </c>
      <c r="U47" s="438">
        <f t="shared" si="6"/>
        <v>0</v>
      </c>
      <c r="V47" s="448">
        <f t="shared" si="7"/>
        <v>0</v>
      </c>
      <c r="W47" s="496">
        <v>93732</v>
      </c>
      <c r="X47" s="445">
        <v>93732</v>
      </c>
      <c r="Y47" s="438">
        <f t="shared" si="8"/>
        <v>0</v>
      </c>
    </row>
    <row r="48" spans="1:25" s="229" customFormat="1">
      <c r="A48" s="443"/>
      <c r="B48" s="235" t="s">
        <v>342</v>
      </c>
      <c r="C48" s="495">
        <v>14700</v>
      </c>
      <c r="D48" s="444">
        <v>14700</v>
      </c>
      <c r="E48" s="438">
        <f t="shared" si="0"/>
        <v>0</v>
      </c>
      <c r="F48" s="496">
        <v>174857.91</v>
      </c>
      <c r="G48" s="445">
        <v>174857.91</v>
      </c>
      <c r="H48" s="438">
        <f t="shared" si="1"/>
        <v>0</v>
      </c>
      <c r="I48" s="496">
        <v>32.43</v>
      </c>
      <c r="J48" s="446">
        <v>32.43</v>
      </c>
      <c r="K48" s="496">
        <v>476721</v>
      </c>
      <c r="L48" s="445">
        <v>476721</v>
      </c>
      <c r="M48" s="438">
        <f t="shared" si="2"/>
        <v>0</v>
      </c>
      <c r="N48" s="447">
        <f t="shared" si="3"/>
        <v>0</v>
      </c>
      <c r="O48" s="496">
        <v>32.43</v>
      </c>
      <c r="P48" s="446">
        <v>32.43</v>
      </c>
      <c r="Q48" s="438">
        <f t="shared" si="4"/>
        <v>0</v>
      </c>
      <c r="R48" s="448">
        <f t="shared" si="5"/>
        <v>0</v>
      </c>
      <c r="S48" s="496">
        <v>476721</v>
      </c>
      <c r="T48" s="445">
        <v>476721</v>
      </c>
      <c r="U48" s="438">
        <f t="shared" si="6"/>
        <v>0</v>
      </c>
      <c r="V48" s="448">
        <f t="shared" si="7"/>
        <v>0</v>
      </c>
      <c r="W48" s="496">
        <v>174857.91</v>
      </c>
      <c r="X48" s="445">
        <v>174857.91</v>
      </c>
      <c r="Y48" s="438">
        <f t="shared" si="8"/>
        <v>0</v>
      </c>
    </row>
    <row r="49" spans="1:25" s="229" customFormat="1">
      <c r="A49" s="443"/>
      <c r="B49" s="235" t="s">
        <v>343</v>
      </c>
      <c r="C49" s="495">
        <v>5750</v>
      </c>
      <c r="D49" s="444">
        <v>5750</v>
      </c>
      <c r="E49" s="438">
        <f t="shared" si="0"/>
        <v>0</v>
      </c>
      <c r="F49" s="496">
        <f>46825.9+123009.48+63386.63+58222.97</f>
        <v>291444.98</v>
      </c>
      <c r="G49" s="445">
        <v>291444.96999999997</v>
      </c>
      <c r="H49" s="438">
        <f t="shared" si="1"/>
        <v>1.0000000009313226E-2</v>
      </c>
      <c r="I49" s="496">
        <v>40.54</v>
      </c>
      <c r="J49" s="446">
        <v>40.54</v>
      </c>
      <c r="K49" s="496">
        <v>233105</v>
      </c>
      <c r="L49" s="445">
        <v>233105</v>
      </c>
      <c r="M49" s="438">
        <f t="shared" si="2"/>
        <v>0</v>
      </c>
      <c r="N49" s="447">
        <f t="shared" si="3"/>
        <v>0</v>
      </c>
      <c r="O49" s="496">
        <v>40.54</v>
      </c>
      <c r="P49" s="446">
        <v>40.54</v>
      </c>
      <c r="Q49" s="438">
        <f t="shared" si="4"/>
        <v>0</v>
      </c>
      <c r="R49" s="448">
        <f t="shared" si="5"/>
        <v>0</v>
      </c>
      <c r="S49" s="496">
        <v>233105</v>
      </c>
      <c r="T49" s="445">
        <v>233105</v>
      </c>
      <c r="U49" s="438">
        <f t="shared" si="6"/>
        <v>0</v>
      </c>
      <c r="V49" s="448">
        <f t="shared" si="7"/>
        <v>0</v>
      </c>
      <c r="W49" s="496">
        <f>46825.9+123009.48+63386.63+58222.97</f>
        <v>291444.98</v>
      </c>
      <c r="X49" s="445">
        <v>291444.96999999997</v>
      </c>
      <c r="Y49" s="438">
        <f t="shared" si="8"/>
        <v>1.0000000009313226E-2</v>
      </c>
    </row>
    <row r="50" spans="1:25" s="229" customFormat="1">
      <c r="A50" s="443"/>
      <c r="B50" s="235" t="s">
        <v>344</v>
      </c>
      <c r="C50" s="495">
        <v>11500</v>
      </c>
      <c r="D50" s="444">
        <v>11500</v>
      </c>
      <c r="E50" s="438">
        <f t="shared" si="0"/>
        <v>0</v>
      </c>
      <c r="F50" s="496">
        <v>161236.9</v>
      </c>
      <c r="G50" s="445">
        <v>161236.9</v>
      </c>
      <c r="H50" s="438">
        <f t="shared" si="1"/>
        <v>0</v>
      </c>
      <c r="I50" s="496">
        <v>12.56</v>
      </c>
      <c r="J50" s="446">
        <v>12.56</v>
      </c>
      <c r="K50" s="496">
        <v>144440</v>
      </c>
      <c r="L50" s="445">
        <v>144440</v>
      </c>
      <c r="M50" s="438">
        <f t="shared" si="2"/>
        <v>0</v>
      </c>
      <c r="N50" s="447">
        <f t="shared" si="3"/>
        <v>0</v>
      </c>
      <c r="O50" s="496">
        <v>12.56</v>
      </c>
      <c r="P50" s="446">
        <v>12.56</v>
      </c>
      <c r="Q50" s="438">
        <f t="shared" si="4"/>
        <v>0</v>
      </c>
      <c r="R50" s="448">
        <f t="shared" si="5"/>
        <v>0</v>
      </c>
      <c r="S50" s="496">
        <v>144440</v>
      </c>
      <c r="T50" s="445">
        <v>144440</v>
      </c>
      <c r="U50" s="438">
        <f t="shared" si="6"/>
        <v>0</v>
      </c>
      <c r="V50" s="448">
        <f t="shared" si="7"/>
        <v>0</v>
      </c>
      <c r="W50" s="496">
        <v>161236.9</v>
      </c>
      <c r="X50" s="445">
        <v>161236.9</v>
      </c>
      <c r="Y50" s="438">
        <f t="shared" si="8"/>
        <v>0</v>
      </c>
    </row>
    <row r="51" spans="1:25" s="229" customFormat="1">
      <c r="A51" s="443"/>
      <c r="B51" s="235" t="s">
        <v>345</v>
      </c>
      <c r="C51" s="495">
        <v>4250</v>
      </c>
      <c r="D51" s="444">
        <v>4250</v>
      </c>
      <c r="E51" s="438">
        <f t="shared" si="0"/>
        <v>0</v>
      </c>
      <c r="F51" s="496">
        <f>110159.9+216272.94+154011</f>
        <v>480443.83999999997</v>
      </c>
      <c r="G51" s="445">
        <v>480443.84</v>
      </c>
      <c r="H51" s="438">
        <f t="shared" si="1"/>
        <v>0</v>
      </c>
      <c r="I51" s="496">
        <v>116.99</v>
      </c>
      <c r="J51" s="446">
        <v>116.99</v>
      </c>
      <c r="K51" s="496">
        <v>497207.5</v>
      </c>
      <c r="L51" s="445">
        <v>497207.5</v>
      </c>
      <c r="M51" s="438">
        <f t="shared" si="2"/>
        <v>0</v>
      </c>
      <c r="N51" s="447">
        <f t="shared" si="3"/>
        <v>0</v>
      </c>
      <c r="O51" s="496">
        <v>116.99</v>
      </c>
      <c r="P51" s="446">
        <v>116.99</v>
      </c>
      <c r="Q51" s="438">
        <f t="shared" si="4"/>
        <v>0</v>
      </c>
      <c r="R51" s="448">
        <f t="shared" si="5"/>
        <v>0</v>
      </c>
      <c r="S51" s="496">
        <v>497207.5</v>
      </c>
      <c r="T51" s="445">
        <v>497207.5</v>
      </c>
      <c r="U51" s="438">
        <f t="shared" si="6"/>
        <v>0</v>
      </c>
      <c r="V51" s="448">
        <f t="shared" si="7"/>
        <v>0</v>
      </c>
      <c r="W51" s="496">
        <f>110159.9+216272.94+154011</f>
        <v>480443.83999999997</v>
      </c>
      <c r="X51" s="445">
        <v>480443.84</v>
      </c>
      <c r="Y51" s="438">
        <f t="shared" si="8"/>
        <v>0</v>
      </c>
    </row>
    <row r="52" spans="1:25" s="229" customFormat="1">
      <c r="A52" s="443"/>
      <c r="B52" s="235" t="s">
        <v>346</v>
      </c>
      <c r="C52" s="495">
        <v>11050</v>
      </c>
      <c r="D52" s="444">
        <v>11050</v>
      </c>
      <c r="E52" s="438">
        <f t="shared" si="0"/>
        <v>0</v>
      </c>
      <c r="F52" s="496">
        <f>36947.76+137569.25</f>
        <v>174517.01</v>
      </c>
      <c r="G52" s="445">
        <v>178233.94</v>
      </c>
      <c r="H52" s="438">
        <f t="shared" si="1"/>
        <v>-3716.929999999993</v>
      </c>
      <c r="I52" s="496">
        <v>26.95</v>
      </c>
      <c r="J52" s="446">
        <v>26.95</v>
      </c>
      <c r="K52" s="496">
        <v>297797.5</v>
      </c>
      <c r="L52" s="445">
        <v>297797.5</v>
      </c>
      <c r="M52" s="438">
        <f t="shared" si="2"/>
        <v>0</v>
      </c>
      <c r="N52" s="447">
        <f t="shared" si="3"/>
        <v>0</v>
      </c>
      <c r="O52" s="496">
        <v>26.95</v>
      </c>
      <c r="P52" s="446">
        <v>26.95</v>
      </c>
      <c r="Q52" s="438">
        <f t="shared" si="4"/>
        <v>0</v>
      </c>
      <c r="R52" s="448">
        <f t="shared" si="5"/>
        <v>0</v>
      </c>
      <c r="S52" s="496">
        <v>297797.5</v>
      </c>
      <c r="T52" s="445">
        <v>297797.5</v>
      </c>
      <c r="U52" s="438">
        <f t="shared" si="6"/>
        <v>0</v>
      </c>
      <c r="V52" s="448">
        <f t="shared" si="7"/>
        <v>0</v>
      </c>
      <c r="W52" s="496">
        <f>36947.76+137569.25</f>
        <v>174517.01</v>
      </c>
      <c r="X52" s="445">
        <v>178233.94</v>
      </c>
      <c r="Y52" s="438">
        <f t="shared" si="8"/>
        <v>-3716.929999999993</v>
      </c>
    </row>
    <row r="53" spans="1:25" s="229" customFormat="1">
      <c r="A53" s="443"/>
      <c r="B53" s="235" t="s">
        <v>347</v>
      </c>
      <c r="C53" s="495">
        <v>8575</v>
      </c>
      <c r="D53" s="444">
        <v>8575</v>
      </c>
      <c r="E53" s="438">
        <f t="shared" si="0"/>
        <v>0</v>
      </c>
      <c r="F53" s="496">
        <f>98734.26+64319.79</f>
        <v>163054.04999999999</v>
      </c>
      <c r="G53" s="445">
        <v>163054.04999999999</v>
      </c>
      <c r="H53" s="438">
        <f t="shared" si="1"/>
        <v>0</v>
      </c>
      <c r="I53" s="496">
        <v>24.86</v>
      </c>
      <c r="J53" s="446">
        <v>24.86</v>
      </c>
      <c r="K53" s="496">
        <v>213174.5</v>
      </c>
      <c r="L53" s="445">
        <v>213174.5</v>
      </c>
      <c r="M53" s="438">
        <f t="shared" si="2"/>
        <v>0</v>
      </c>
      <c r="N53" s="447">
        <f t="shared" si="3"/>
        <v>0</v>
      </c>
      <c r="O53" s="496">
        <v>24.86</v>
      </c>
      <c r="P53" s="446">
        <v>24.86</v>
      </c>
      <c r="Q53" s="438">
        <f t="shared" si="4"/>
        <v>0</v>
      </c>
      <c r="R53" s="448">
        <f t="shared" si="5"/>
        <v>0</v>
      </c>
      <c r="S53" s="496">
        <v>213174.5</v>
      </c>
      <c r="T53" s="445">
        <v>213174.5</v>
      </c>
      <c r="U53" s="438">
        <f t="shared" si="6"/>
        <v>0</v>
      </c>
      <c r="V53" s="448">
        <f t="shared" si="7"/>
        <v>0</v>
      </c>
      <c r="W53" s="496">
        <f>98734.26+64319.79</f>
        <v>163054.04999999999</v>
      </c>
      <c r="X53" s="445">
        <v>163054.04999999999</v>
      </c>
      <c r="Y53" s="438">
        <f t="shared" si="8"/>
        <v>0</v>
      </c>
    </row>
    <row r="54" spans="1:25" s="229" customFormat="1">
      <c r="A54" s="443"/>
      <c r="B54" s="235" t="s">
        <v>348</v>
      </c>
      <c r="C54" s="495">
        <v>10050</v>
      </c>
      <c r="D54" s="444">
        <v>10050</v>
      </c>
      <c r="E54" s="438">
        <f t="shared" si="0"/>
        <v>0</v>
      </c>
      <c r="F54" s="496">
        <v>220425.72</v>
      </c>
      <c r="G54" s="445">
        <v>220425.72</v>
      </c>
      <c r="H54" s="438">
        <f t="shared" si="1"/>
        <v>0</v>
      </c>
      <c r="I54" s="496">
        <v>25.94</v>
      </c>
      <c r="J54" s="446">
        <v>25.94</v>
      </c>
      <c r="K54" s="496">
        <v>260697</v>
      </c>
      <c r="L54" s="445">
        <v>260697</v>
      </c>
      <c r="M54" s="438">
        <f t="shared" si="2"/>
        <v>0</v>
      </c>
      <c r="N54" s="447">
        <f t="shared" si="3"/>
        <v>0</v>
      </c>
      <c r="O54" s="496">
        <v>25.94</v>
      </c>
      <c r="P54" s="446">
        <v>25.94</v>
      </c>
      <c r="Q54" s="438">
        <f t="shared" si="4"/>
        <v>0</v>
      </c>
      <c r="R54" s="448">
        <f t="shared" si="5"/>
        <v>0</v>
      </c>
      <c r="S54" s="496">
        <v>260697</v>
      </c>
      <c r="T54" s="445">
        <v>260697</v>
      </c>
      <c r="U54" s="438">
        <f t="shared" si="6"/>
        <v>0</v>
      </c>
      <c r="V54" s="448">
        <f t="shared" si="7"/>
        <v>0</v>
      </c>
      <c r="W54" s="496">
        <v>220425.72</v>
      </c>
      <c r="X54" s="445">
        <v>220425.72</v>
      </c>
      <c r="Y54" s="438">
        <f t="shared" si="8"/>
        <v>0</v>
      </c>
    </row>
    <row r="55" spans="1:25" s="229" customFormat="1">
      <c r="A55" s="443"/>
      <c r="B55" s="235" t="s">
        <v>349</v>
      </c>
      <c r="C55" s="495">
        <v>4525</v>
      </c>
      <c r="D55" s="444">
        <v>4525</v>
      </c>
      <c r="E55" s="438">
        <f t="shared" si="0"/>
        <v>0</v>
      </c>
      <c r="F55" s="496">
        <f>103777.5+40978+85698.08</f>
        <v>230453.58000000002</v>
      </c>
      <c r="G55" s="445">
        <v>230453.58</v>
      </c>
      <c r="H55" s="438">
        <f t="shared" si="1"/>
        <v>0</v>
      </c>
      <c r="I55" s="496">
        <v>106.45</v>
      </c>
      <c r="J55" s="446">
        <v>106.45</v>
      </c>
      <c r="K55" s="496">
        <v>481686.25</v>
      </c>
      <c r="L55" s="445">
        <v>481686.25</v>
      </c>
      <c r="M55" s="438">
        <f t="shared" si="2"/>
        <v>0</v>
      </c>
      <c r="N55" s="447">
        <f t="shared" si="3"/>
        <v>0</v>
      </c>
      <c r="O55" s="496">
        <v>106.45</v>
      </c>
      <c r="P55" s="446">
        <v>106.45</v>
      </c>
      <c r="Q55" s="438">
        <f t="shared" si="4"/>
        <v>0</v>
      </c>
      <c r="R55" s="448">
        <f t="shared" si="5"/>
        <v>0</v>
      </c>
      <c r="S55" s="496">
        <v>481686.25</v>
      </c>
      <c r="T55" s="445">
        <v>481686.25</v>
      </c>
      <c r="U55" s="438">
        <f t="shared" si="6"/>
        <v>0</v>
      </c>
      <c r="V55" s="448">
        <f t="shared" si="7"/>
        <v>0</v>
      </c>
      <c r="W55" s="496">
        <f>103777.5+40978+85698.08</f>
        <v>230453.58000000002</v>
      </c>
      <c r="X55" s="445">
        <v>230453.58</v>
      </c>
      <c r="Y55" s="438">
        <f t="shared" si="8"/>
        <v>0</v>
      </c>
    </row>
    <row r="56" spans="1:25" s="229" customFormat="1">
      <c r="A56" s="443"/>
      <c r="B56" s="235" t="s">
        <v>350</v>
      </c>
      <c r="C56" s="495">
        <v>2200</v>
      </c>
      <c r="D56" s="444">
        <v>2200</v>
      </c>
      <c r="E56" s="438">
        <f t="shared" si="0"/>
        <v>0</v>
      </c>
      <c r="F56" s="496">
        <v>169141</v>
      </c>
      <c r="G56" s="445">
        <v>169141</v>
      </c>
      <c r="H56" s="438">
        <f t="shared" si="1"/>
        <v>0</v>
      </c>
      <c r="I56" s="496">
        <v>96.7</v>
      </c>
      <c r="J56" s="446">
        <v>96.7</v>
      </c>
      <c r="K56" s="496">
        <v>212740</v>
      </c>
      <c r="L56" s="445">
        <v>212740</v>
      </c>
      <c r="M56" s="438">
        <f t="shared" si="2"/>
        <v>0</v>
      </c>
      <c r="N56" s="447">
        <f t="shared" si="3"/>
        <v>0</v>
      </c>
      <c r="O56" s="496">
        <v>96.7</v>
      </c>
      <c r="P56" s="446">
        <v>96.7</v>
      </c>
      <c r="Q56" s="438">
        <f t="shared" si="4"/>
        <v>0</v>
      </c>
      <c r="R56" s="448">
        <f t="shared" si="5"/>
        <v>0</v>
      </c>
      <c r="S56" s="496">
        <v>212740</v>
      </c>
      <c r="T56" s="445">
        <v>212740</v>
      </c>
      <c r="U56" s="438">
        <f t="shared" si="6"/>
        <v>0</v>
      </c>
      <c r="V56" s="448">
        <f t="shared" si="7"/>
        <v>0</v>
      </c>
      <c r="W56" s="496">
        <v>169141</v>
      </c>
      <c r="X56" s="445">
        <v>169141</v>
      </c>
      <c r="Y56" s="438">
        <f t="shared" si="8"/>
        <v>0</v>
      </c>
    </row>
    <row r="57" spans="1:25" s="229" customFormat="1">
      <c r="A57" s="443"/>
      <c r="B57" s="235" t="s">
        <v>351</v>
      </c>
      <c r="C57" s="495">
        <v>8000</v>
      </c>
      <c r="D57" s="444">
        <v>8000</v>
      </c>
      <c r="E57" s="438">
        <f t="shared" si="0"/>
        <v>0</v>
      </c>
      <c r="F57" s="496">
        <v>184278.25</v>
      </c>
      <c r="G57" s="445">
        <v>184278.25</v>
      </c>
      <c r="H57" s="438">
        <f t="shared" si="1"/>
        <v>0</v>
      </c>
      <c r="I57" s="496">
        <v>22.68</v>
      </c>
      <c r="J57" s="446">
        <v>22.68</v>
      </c>
      <c r="K57" s="496">
        <v>181440</v>
      </c>
      <c r="L57" s="445">
        <v>181440</v>
      </c>
      <c r="M57" s="438">
        <f t="shared" si="2"/>
        <v>0</v>
      </c>
      <c r="N57" s="447">
        <f t="shared" si="3"/>
        <v>0</v>
      </c>
      <c r="O57" s="496">
        <v>22.68</v>
      </c>
      <c r="P57" s="446">
        <v>22.68</v>
      </c>
      <c r="Q57" s="438">
        <f t="shared" si="4"/>
        <v>0</v>
      </c>
      <c r="R57" s="448">
        <f t="shared" si="5"/>
        <v>0</v>
      </c>
      <c r="S57" s="496">
        <v>181440</v>
      </c>
      <c r="T57" s="445">
        <v>181440</v>
      </c>
      <c r="U57" s="438">
        <f t="shared" si="6"/>
        <v>0</v>
      </c>
      <c r="V57" s="448">
        <f t="shared" si="7"/>
        <v>0</v>
      </c>
      <c r="W57" s="496">
        <v>184278.25</v>
      </c>
      <c r="X57" s="445">
        <v>184278.25</v>
      </c>
      <c r="Y57" s="438">
        <f t="shared" si="8"/>
        <v>0</v>
      </c>
    </row>
    <row r="58" spans="1:25" s="229" customFormat="1">
      <c r="A58" s="443"/>
      <c r="B58" s="235" t="s">
        <v>352</v>
      </c>
      <c r="C58" s="495">
        <v>12925</v>
      </c>
      <c r="D58" s="444">
        <v>12925</v>
      </c>
      <c r="E58" s="438">
        <f t="shared" si="0"/>
        <v>0</v>
      </c>
      <c r="F58" s="496">
        <f>77557.97+52153.86+48512.25+12682.2</f>
        <v>190906.28000000003</v>
      </c>
      <c r="G58" s="445">
        <v>193382.77</v>
      </c>
      <c r="H58" s="438">
        <f t="shared" si="1"/>
        <v>-2476.4899999999616</v>
      </c>
      <c r="I58" s="496">
        <v>27.54</v>
      </c>
      <c r="J58" s="446">
        <v>27.54</v>
      </c>
      <c r="K58" s="496">
        <v>355954.5</v>
      </c>
      <c r="L58" s="445">
        <v>355954.5</v>
      </c>
      <c r="M58" s="438">
        <f t="shared" si="2"/>
        <v>0</v>
      </c>
      <c r="N58" s="447">
        <f t="shared" si="3"/>
        <v>0</v>
      </c>
      <c r="O58" s="496">
        <v>27.54</v>
      </c>
      <c r="P58" s="446">
        <v>27.54</v>
      </c>
      <c r="Q58" s="438">
        <f t="shared" si="4"/>
        <v>0</v>
      </c>
      <c r="R58" s="448">
        <f t="shared" si="5"/>
        <v>0</v>
      </c>
      <c r="S58" s="496">
        <v>355954.5</v>
      </c>
      <c r="T58" s="445">
        <v>355954.5</v>
      </c>
      <c r="U58" s="438">
        <f t="shared" si="6"/>
        <v>0</v>
      </c>
      <c r="V58" s="448">
        <f t="shared" si="7"/>
        <v>0</v>
      </c>
      <c r="W58" s="496">
        <f>77557.97+52153.86+48512.25+12682.2</f>
        <v>190906.28000000003</v>
      </c>
      <c r="X58" s="445">
        <v>193382.77</v>
      </c>
      <c r="Y58" s="438">
        <f t="shared" si="8"/>
        <v>-2476.4899999999616</v>
      </c>
    </row>
    <row r="59" spans="1:25" s="229" customFormat="1">
      <c r="A59" s="443"/>
      <c r="B59" s="235" t="s">
        <v>353</v>
      </c>
      <c r="C59" s="495">
        <v>9500</v>
      </c>
      <c r="D59" s="444">
        <v>9500</v>
      </c>
      <c r="E59" s="438">
        <f t="shared" si="0"/>
        <v>0</v>
      </c>
      <c r="F59" s="496">
        <v>180841.55</v>
      </c>
      <c r="G59" s="445">
        <v>180841.55</v>
      </c>
      <c r="H59" s="438">
        <f t="shared" si="1"/>
        <v>0</v>
      </c>
      <c r="I59" s="496">
        <v>18.91</v>
      </c>
      <c r="J59" s="446">
        <v>18.91</v>
      </c>
      <c r="K59" s="496">
        <v>179645</v>
      </c>
      <c r="L59" s="445">
        <v>179645</v>
      </c>
      <c r="M59" s="438">
        <f t="shared" si="2"/>
        <v>0</v>
      </c>
      <c r="N59" s="447">
        <f t="shared" si="3"/>
        <v>0</v>
      </c>
      <c r="O59" s="496">
        <v>18.91</v>
      </c>
      <c r="P59" s="446">
        <v>18.91</v>
      </c>
      <c r="Q59" s="438">
        <f t="shared" si="4"/>
        <v>0</v>
      </c>
      <c r="R59" s="448">
        <f t="shared" si="5"/>
        <v>0</v>
      </c>
      <c r="S59" s="496">
        <v>179645</v>
      </c>
      <c r="T59" s="445">
        <v>179645</v>
      </c>
      <c r="U59" s="438">
        <f t="shared" si="6"/>
        <v>0</v>
      </c>
      <c r="V59" s="448">
        <f t="shared" si="7"/>
        <v>0</v>
      </c>
      <c r="W59" s="496">
        <v>180841.55</v>
      </c>
      <c r="X59" s="445">
        <v>180841.55</v>
      </c>
      <c r="Y59" s="438">
        <f t="shared" si="8"/>
        <v>0</v>
      </c>
    </row>
    <row r="60" spans="1:25" s="229" customFormat="1">
      <c r="A60" s="443"/>
      <c r="B60" s="235" t="s">
        <v>354</v>
      </c>
      <c r="C60" s="495">
        <v>3450</v>
      </c>
      <c r="D60" s="444">
        <v>3450</v>
      </c>
      <c r="E60" s="438">
        <f t="shared" si="0"/>
        <v>0</v>
      </c>
      <c r="F60" s="496">
        <v>176869.13</v>
      </c>
      <c r="G60" s="445">
        <v>176869.13</v>
      </c>
      <c r="H60" s="438">
        <f t="shared" si="1"/>
        <v>0</v>
      </c>
      <c r="I60" s="496">
        <v>59.01</v>
      </c>
      <c r="J60" s="446">
        <v>59.01</v>
      </c>
      <c r="K60" s="496">
        <v>203584.5</v>
      </c>
      <c r="L60" s="445">
        <v>203584.5</v>
      </c>
      <c r="M60" s="438">
        <f t="shared" si="2"/>
        <v>0</v>
      </c>
      <c r="N60" s="447">
        <f t="shared" si="3"/>
        <v>0</v>
      </c>
      <c r="O60" s="496">
        <v>59.01</v>
      </c>
      <c r="P60" s="446">
        <v>59.01</v>
      </c>
      <c r="Q60" s="438">
        <f t="shared" si="4"/>
        <v>0</v>
      </c>
      <c r="R60" s="448">
        <f t="shared" si="5"/>
        <v>0</v>
      </c>
      <c r="S60" s="496">
        <v>203584.5</v>
      </c>
      <c r="T60" s="445">
        <v>203584.5</v>
      </c>
      <c r="U60" s="438">
        <f t="shared" si="6"/>
        <v>0</v>
      </c>
      <c r="V60" s="448">
        <f t="shared" si="7"/>
        <v>0</v>
      </c>
      <c r="W60" s="496">
        <v>176869.13</v>
      </c>
      <c r="X60" s="445">
        <v>176869.13</v>
      </c>
      <c r="Y60" s="438">
        <f t="shared" si="8"/>
        <v>0</v>
      </c>
    </row>
    <row r="61" spans="1:25" s="229" customFormat="1">
      <c r="A61" s="443"/>
      <c r="B61" s="235" t="s">
        <v>355</v>
      </c>
      <c r="C61" s="495">
        <v>5600</v>
      </c>
      <c r="D61" s="444">
        <v>5600</v>
      </c>
      <c r="E61" s="438">
        <f t="shared" si="0"/>
        <v>0</v>
      </c>
      <c r="F61" s="496">
        <f>11793.93+80546+46236+58319.28</f>
        <v>196895.21</v>
      </c>
      <c r="G61" s="445">
        <v>196895.21</v>
      </c>
      <c r="H61" s="438">
        <f t="shared" si="1"/>
        <v>0</v>
      </c>
      <c r="I61" s="496">
        <v>19.72</v>
      </c>
      <c r="J61" s="446">
        <v>19.72</v>
      </c>
      <c r="K61" s="496">
        <v>110432</v>
      </c>
      <c r="L61" s="445">
        <v>110432</v>
      </c>
      <c r="M61" s="438">
        <f t="shared" si="2"/>
        <v>0</v>
      </c>
      <c r="N61" s="447">
        <f t="shared" si="3"/>
        <v>0</v>
      </c>
      <c r="O61" s="496">
        <v>19.72</v>
      </c>
      <c r="P61" s="446">
        <v>19.72</v>
      </c>
      <c r="Q61" s="438">
        <f t="shared" si="4"/>
        <v>0</v>
      </c>
      <c r="R61" s="448">
        <f t="shared" si="5"/>
        <v>0</v>
      </c>
      <c r="S61" s="496">
        <v>110432</v>
      </c>
      <c r="T61" s="445">
        <v>110432</v>
      </c>
      <c r="U61" s="438">
        <f t="shared" si="6"/>
        <v>0</v>
      </c>
      <c r="V61" s="448">
        <f t="shared" si="7"/>
        <v>0</v>
      </c>
      <c r="W61" s="496">
        <f>11793.93+80546+46236+58319.28</f>
        <v>196895.21</v>
      </c>
      <c r="X61" s="445">
        <v>196895.21</v>
      </c>
      <c r="Y61" s="438">
        <f t="shared" si="8"/>
        <v>0</v>
      </c>
    </row>
    <row r="62" spans="1:25" s="229" customFormat="1">
      <c r="A62" s="443"/>
      <c r="B62" s="235" t="s">
        <v>356</v>
      </c>
      <c r="C62" s="495">
        <v>8000</v>
      </c>
      <c r="D62" s="444">
        <v>8000</v>
      </c>
      <c r="E62" s="438">
        <f t="shared" si="0"/>
        <v>0</v>
      </c>
      <c r="F62" s="496">
        <v>235198.4</v>
      </c>
      <c r="G62" s="445">
        <v>235198.4</v>
      </c>
      <c r="H62" s="438">
        <f t="shared" si="1"/>
        <v>0</v>
      </c>
      <c r="I62" s="496">
        <v>39.06</v>
      </c>
      <c r="J62" s="446">
        <v>39.06</v>
      </c>
      <c r="K62" s="496">
        <v>312480</v>
      </c>
      <c r="L62" s="445">
        <v>312480</v>
      </c>
      <c r="M62" s="438">
        <f t="shared" si="2"/>
        <v>0</v>
      </c>
      <c r="N62" s="447">
        <f t="shared" si="3"/>
        <v>0</v>
      </c>
      <c r="O62" s="496">
        <v>39.06</v>
      </c>
      <c r="P62" s="446">
        <v>39.06</v>
      </c>
      <c r="Q62" s="438">
        <f t="shared" si="4"/>
        <v>0</v>
      </c>
      <c r="R62" s="448">
        <f t="shared" si="5"/>
        <v>0</v>
      </c>
      <c r="S62" s="496">
        <v>312480</v>
      </c>
      <c r="T62" s="445">
        <v>312480</v>
      </c>
      <c r="U62" s="438">
        <f t="shared" si="6"/>
        <v>0</v>
      </c>
      <c r="V62" s="448">
        <f t="shared" si="7"/>
        <v>0</v>
      </c>
      <c r="W62" s="496">
        <v>235198.4</v>
      </c>
      <c r="X62" s="445">
        <v>235198.4</v>
      </c>
      <c r="Y62" s="438">
        <f t="shared" si="8"/>
        <v>0</v>
      </c>
    </row>
    <row r="63" spans="1:25" s="229" customFormat="1">
      <c r="A63" s="443"/>
      <c r="B63" s="235" t="s">
        <v>357</v>
      </c>
      <c r="C63" s="495">
        <v>10500</v>
      </c>
      <c r="D63" s="444">
        <v>10500</v>
      </c>
      <c r="E63" s="438">
        <f t="shared" si="0"/>
        <v>0</v>
      </c>
      <c r="F63" s="496">
        <v>264595.20000000001</v>
      </c>
      <c r="G63" s="445">
        <v>264595.20000000001</v>
      </c>
      <c r="H63" s="438">
        <f t="shared" si="1"/>
        <v>0</v>
      </c>
      <c r="I63" s="496">
        <v>25.88</v>
      </c>
      <c r="J63" s="446">
        <v>25.88</v>
      </c>
      <c r="K63" s="496">
        <v>271740</v>
      </c>
      <c r="L63" s="445">
        <v>271740</v>
      </c>
      <c r="M63" s="438">
        <f t="shared" si="2"/>
        <v>0</v>
      </c>
      <c r="N63" s="447">
        <f t="shared" si="3"/>
        <v>0</v>
      </c>
      <c r="O63" s="496">
        <v>25.88</v>
      </c>
      <c r="P63" s="446">
        <v>25.88</v>
      </c>
      <c r="Q63" s="438">
        <f t="shared" si="4"/>
        <v>0</v>
      </c>
      <c r="R63" s="448">
        <f t="shared" si="5"/>
        <v>0</v>
      </c>
      <c r="S63" s="496">
        <v>271740</v>
      </c>
      <c r="T63" s="445">
        <v>271740</v>
      </c>
      <c r="U63" s="438">
        <f t="shared" si="6"/>
        <v>0</v>
      </c>
      <c r="V63" s="448">
        <f t="shared" si="7"/>
        <v>0</v>
      </c>
      <c r="W63" s="496">
        <v>264595.20000000001</v>
      </c>
      <c r="X63" s="445">
        <v>264595.20000000001</v>
      </c>
      <c r="Y63" s="438">
        <f t="shared" si="8"/>
        <v>0</v>
      </c>
    </row>
    <row r="64" spans="1:25" s="229" customFormat="1">
      <c r="A64" s="443"/>
      <c r="B64" s="235" t="s">
        <v>358</v>
      </c>
      <c r="C64" s="495">
        <v>5425</v>
      </c>
      <c r="D64" s="444">
        <v>5425</v>
      </c>
      <c r="E64" s="438">
        <f t="shared" si="0"/>
        <v>0</v>
      </c>
      <c r="F64" s="496">
        <f>3462.97+47664.86+23805+49181.86+36727.9+37054.82</f>
        <v>197897.41</v>
      </c>
      <c r="G64" s="445">
        <v>197897.41</v>
      </c>
      <c r="H64" s="438">
        <f t="shared" si="1"/>
        <v>0</v>
      </c>
      <c r="I64" s="496">
        <v>50.55</v>
      </c>
      <c r="J64" s="446">
        <v>50.55</v>
      </c>
      <c r="K64" s="496">
        <v>274233.75</v>
      </c>
      <c r="L64" s="445">
        <v>274233.75</v>
      </c>
      <c r="M64" s="438">
        <f t="shared" si="2"/>
        <v>0</v>
      </c>
      <c r="N64" s="447">
        <f t="shared" si="3"/>
        <v>0</v>
      </c>
      <c r="O64" s="496">
        <v>50.55</v>
      </c>
      <c r="P64" s="446">
        <v>50.55</v>
      </c>
      <c r="Q64" s="438">
        <f t="shared" si="4"/>
        <v>0</v>
      </c>
      <c r="R64" s="448">
        <f t="shared" si="5"/>
        <v>0</v>
      </c>
      <c r="S64" s="496">
        <v>274233.75</v>
      </c>
      <c r="T64" s="445">
        <v>274233.75</v>
      </c>
      <c r="U64" s="438">
        <f t="shared" si="6"/>
        <v>0</v>
      </c>
      <c r="V64" s="448">
        <f t="shared" si="7"/>
        <v>0</v>
      </c>
      <c r="W64" s="496">
        <f>3462.97+47664.86+23805+49181.86+36727.9+37054.82</f>
        <v>197897.41</v>
      </c>
      <c r="X64" s="445">
        <v>197897.41</v>
      </c>
      <c r="Y64" s="438">
        <f t="shared" si="8"/>
        <v>0</v>
      </c>
    </row>
    <row r="65" spans="1:25" s="229" customFormat="1">
      <c r="A65" s="443"/>
      <c r="B65" s="235" t="s">
        <v>359</v>
      </c>
      <c r="C65" s="495">
        <v>9550</v>
      </c>
      <c r="D65" s="444">
        <v>9550</v>
      </c>
      <c r="E65" s="438">
        <f t="shared" si="0"/>
        <v>0</v>
      </c>
      <c r="F65" s="496">
        <f>53969.79+46358.07+39768+16719.9+15346.5</f>
        <v>172162.25999999998</v>
      </c>
      <c r="G65" s="445">
        <v>172162.26</v>
      </c>
      <c r="H65" s="438">
        <f t="shared" si="1"/>
        <v>0</v>
      </c>
      <c r="I65" s="496">
        <v>25.58</v>
      </c>
      <c r="J65" s="446">
        <v>25.58</v>
      </c>
      <c r="K65" s="496">
        <v>244289</v>
      </c>
      <c r="L65" s="445">
        <v>244289</v>
      </c>
      <c r="M65" s="438">
        <f t="shared" si="2"/>
        <v>0</v>
      </c>
      <c r="N65" s="447">
        <f t="shared" si="3"/>
        <v>0</v>
      </c>
      <c r="O65" s="496">
        <v>25.58</v>
      </c>
      <c r="P65" s="446">
        <v>25.58</v>
      </c>
      <c r="Q65" s="438">
        <f t="shared" si="4"/>
        <v>0</v>
      </c>
      <c r="R65" s="448">
        <f t="shared" si="5"/>
        <v>0</v>
      </c>
      <c r="S65" s="496">
        <v>244289</v>
      </c>
      <c r="T65" s="445">
        <v>244289</v>
      </c>
      <c r="U65" s="438">
        <f t="shared" si="6"/>
        <v>0</v>
      </c>
      <c r="V65" s="448">
        <f t="shared" si="7"/>
        <v>0</v>
      </c>
      <c r="W65" s="496">
        <f>53969.79+46358.07+39768+16719.9+15346.5</f>
        <v>172162.25999999998</v>
      </c>
      <c r="X65" s="445">
        <v>172162.26</v>
      </c>
      <c r="Y65" s="438">
        <f t="shared" si="8"/>
        <v>0</v>
      </c>
    </row>
    <row r="66" spans="1:25" s="229" customFormat="1">
      <c r="A66" s="443"/>
      <c r="B66" s="235" t="s">
        <v>360</v>
      </c>
      <c r="C66" s="495">
        <v>6700</v>
      </c>
      <c r="D66" s="444">
        <v>6700</v>
      </c>
      <c r="E66" s="438">
        <f t="shared" si="0"/>
        <v>0</v>
      </c>
      <c r="F66" s="496">
        <v>87035.01</v>
      </c>
      <c r="G66" s="445">
        <v>90529.77</v>
      </c>
      <c r="H66" s="438">
        <f t="shared" si="1"/>
        <v>-3494.7600000000093</v>
      </c>
      <c r="I66" s="496">
        <v>14.34</v>
      </c>
      <c r="J66" s="446">
        <v>14.34</v>
      </c>
      <c r="K66" s="496">
        <v>96078</v>
      </c>
      <c r="L66" s="445">
        <v>96078</v>
      </c>
      <c r="M66" s="438">
        <f t="shared" si="2"/>
        <v>0</v>
      </c>
      <c r="N66" s="447">
        <f t="shared" si="3"/>
        <v>0</v>
      </c>
      <c r="O66" s="496">
        <v>14.34</v>
      </c>
      <c r="P66" s="446">
        <v>14.34</v>
      </c>
      <c r="Q66" s="438">
        <f t="shared" si="4"/>
        <v>0</v>
      </c>
      <c r="R66" s="448">
        <f t="shared" si="5"/>
        <v>0</v>
      </c>
      <c r="S66" s="496">
        <v>96078</v>
      </c>
      <c r="T66" s="445">
        <v>96078</v>
      </c>
      <c r="U66" s="438">
        <f t="shared" si="6"/>
        <v>0</v>
      </c>
      <c r="V66" s="448">
        <f t="shared" si="7"/>
        <v>0</v>
      </c>
      <c r="W66" s="496">
        <v>87035.01</v>
      </c>
      <c r="X66" s="445">
        <v>90529.77</v>
      </c>
      <c r="Y66" s="438">
        <f t="shared" si="8"/>
        <v>-3494.7600000000093</v>
      </c>
    </row>
    <row r="67" spans="1:25" s="229" customFormat="1">
      <c r="A67" s="443"/>
      <c r="B67" s="235" t="s">
        <v>361</v>
      </c>
      <c r="C67" s="495">
        <v>5200</v>
      </c>
      <c r="D67" s="444">
        <v>5200</v>
      </c>
      <c r="E67" s="438">
        <f t="shared" si="0"/>
        <v>0</v>
      </c>
      <c r="F67" s="496">
        <f>26632.69+48413.17+18175.8+53242.98+20689.95+32640.64</f>
        <v>199795.23000000004</v>
      </c>
      <c r="G67" s="445">
        <v>199795.23</v>
      </c>
      <c r="H67" s="438">
        <f t="shared" si="1"/>
        <v>0</v>
      </c>
      <c r="I67" s="496">
        <v>55.61</v>
      </c>
      <c r="J67" s="446">
        <v>55.61</v>
      </c>
      <c r="K67" s="496">
        <v>289172</v>
      </c>
      <c r="L67" s="445">
        <v>289172</v>
      </c>
      <c r="M67" s="438">
        <f t="shared" si="2"/>
        <v>0</v>
      </c>
      <c r="N67" s="447">
        <f t="shared" si="3"/>
        <v>0</v>
      </c>
      <c r="O67" s="496">
        <v>55.61</v>
      </c>
      <c r="P67" s="446">
        <v>55.61</v>
      </c>
      <c r="Q67" s="438">
        <f t="shared" si="4"/>
        <v>0</v>
      </c>
      <c r="R67" s="448">
        <f t="shared" si="5"/>
        <v>0</v>
      </c>
      <c r="S67" s="496">
        <v>289172</v>
      </c>
      <c r="T67" s="445">
        <v>289172</v>
      </c>
      <c r="U67" s="438">
        <f t="shared" si="6"/>
        <v>0</v>
      </c>
      <c r="V67" s="448">
        <f t="shared" si="7"/>
        <v>0</v>
      </c>
      <c r="W67" s="496">
        <f>26632.69+48413.17+18175.8+53242.98+20689.95+32640.64</f>
        <v>199795.23000000004</v>
      </c>
      <c r="X67" s="445">
        <v>199795.23</v>
      </c>
      <c r="Y67" s="438">
        <f t="shared" si="8"/>
        <v>0</v>
      </c>
    </row>
    <row r="68" spans="1:25" s="229" customFormat="1">
      <c r="A68" s="443"/>
      <c r="B68" s="235" t="s">
        <v>362</v>
      </c>
      <c r="C68" s="495">
        <v>13075</v>
      </c>
      <c r="D68" s="444">
        <v>13075</v>
      </c>
      <c r="E68" s="438">
        <f t="shared" ref="E68:E91" si="9">C68-D68</f>
        <v>0</v>
      </c>
      <c r="F68" s="496">
        <v>253101</v>
      </c>
      <c r="G68" s="445">
        <v>253101</v>
      </c>
      <c r="H68" s="438">
        <f t="shared" ref="H68:H91" si="10">F68-G68</f>
        <v>0</v>
      </c>
      <c r="I68" s="496">
        <v>18.77</v>
      </c>
      <c r="J68" s="446">
        <v>18.77</v>
      </c>
      <c r="K68" s="496">
        <v>245417.75</v>
      </c>
      <c r="L68" s="445">
        <v>245417.75</v>
      </c>
      <c r="M68" s="438">
        <f t="shared" ref="M68:M91" si="11">K68-L68</f>
        <v>0</v>
      </c>
      <c r="N68" s="447">
        <f t="shared" ref="N68:N91" si="12">SUM(M68/L68)</f>
        <v>0</v>
      </c>
      <c r="O68" s="496">
        <v>18.77</v>
      </c>
      <c r="P68" s="446">
        <v>18.77</v>
      </c>
      <c r="Q68" s="438">
        <f t="shared" ref="Q68:Q91" si="13">O68-P68</f>
        <v>0</v>
      </c>
      <c r="R68" s="448">
        <f t="shared" ref="R68:R91" si="14">SUM(Q68/P68)</f>
        <v>0</v>
      </c>
      <c r="S68" s="496">
        <v>245417.75</v>
      </c>
      <c r="T68" s="445">
        <v>245417.75</v>
      </c>
      <c r="U68" s="438">
        <f t="shared" ref="U68:U91" si="15">S68-T68</f>
        <v>0</v>
      </c>
      <c r="V68" s="448">
        <f t="shared" ref="V68:V91" si="16">SUM(U68/T68)</f>
        <v>0</v>
      </c>
      <c r="W68" s="496">
        <v>253101</v>
      </c>
      <c r="X68" s="445">
        <v>253101</v>
      </c>
      <c r="Y68" s="438">
        <f t="shared" ref="Y68:Y91" si="17">W68-X68</f>
        <v>0</v>
      </c>
    </row>
    <row r="69" spans="1:25" s="229" customFormat="1">
      <c r="A69" s="443"/>
      <c r="B69" s="235" t="s">
        <v>363</v>
      </c>
      <c r="C69" s="495">
        <v>11200</v>
      </c>
      <c r="D69" s="444">
        <v>11200</v>
      </c>
      <c r="E69" s="438">
        <f t="shared" si="9"/>
        <v>0</v>
      </c>
      <c r="F69" s="496">
        <v>293817.15999999997</v>
      </c>
      <c r="G69" s="445">
        <v>293817.15999999997</v>
      </c>
      <c r="H69" s="438">
        <f t="shared" si="10"/>
        <v>0</v>
      </c>
      <c r="I69" s="496">
        <v>28.48</v>
      </c>
      <c r="J69" s="446">
        <v>28.48</v>
      </c>
      <c r="K69" s="496">
        <v>318976</v>
      </c>
      <c r="L69" s="445">
        <v>318976</v>
      </c>
      <c r="M69" s="438">
        <f t="shared" si="11"/>
        <v>0</v>
      </c>
      <c r="N69" s="447">
        <f t="shared" si="12"/>
        <v>0</v>
      </c>
      <c r="O69" s="496">
        <v>28.48</v>
      </c>
      <c r="P69" s="446">
        <v>28.48</v>
      </c>
      <c r="Q69" s="438">
        <f t="shared" si="13"/>
        <v>0</v>
      </c>
      <c r="R69" s="448">
        <f t="shared" si="14"/>
        <v>0</v>
      </c>
      <c r="S69" s="496">
        <v>318976</v>
      </c>
      <c r="T69" s="445">
        <v>318976</v>
      </c>
      <c r="U69" s="438">
        <f t="shared" si="15"/>
        <v>0</v>
      </c>
      <c r="V69" s="448">
        <f t="shared" si="16"/>
        <v>0</v>
      </c>
      <c r="W69" s="496">
        <v>293817.15999999997</v>
      </c>
      <c r="X69" s="445">
        <v>293817.15999999997</v>
      </c>
      <c r="Y69" s="438">
        <f t="shared" si="17"/>
        <v>0</v>
      </c>
    </row>
    <row r="70" spans="1:25" s="229" customFormat="1">
      <c r="A70" s="443"/>
      <c r="B70" s="235" t="s">
        <v>364</v>
      </c>
      <c r="C70" s="495">
        <v>3075</v>
      </c>
      <c r="D70" s="444">
        <v>3075</v>
      </c>
      <c r="E70" s="438">
        <f t="shared" si="9"/>
        <v>0</v>
      </c>
      <c r="F70" s="496">
        <f>55156.5+15813.25</f>
        <v>70969.75</v>
      </c>
      <c r="G70" s="445">
        <v>70969.75</v>
      </c>
      <c r="H70" s="438">
        <f t="shared" si="10"/>
        <v>0</v>
      </c>
      <c r="I70" s="496">
        <v>40.94</v>
      </c>
      <c r="J70" s="446">
        <v>40.94</v>
      </c>
      <c r="K70" s="496">
        <v>125890.5</v>
      </c>
      <c r="L70" s="445">
        <v>125890.5</v>
      </c>
      <c r="M70" s="438">
        <f t="shared" si="11"/>
        <v>0</v>
      </c>
      <c r="N70" s="447">
        <f t="shared" si="12"/>
        <v>0</v>
      </c>
      <c r="O70" s="496">
        <v>40.94</v>
      </c>
      <c r="P70" s="446">
        <v>40.94</v>
      </c>
      <c r="Q70" s="438">
        <f t="shared" si="13"/>
        <v>0</v>
      </c>
      <c r="R70" s="448">
        <f t="shared" si="14"/>
        <v>0</v>
      </c>
      <c r="S70" s="496">
        <v>125890.5</v>
      </c>
      <c r="T70" s="445">
        <v>125890.5</v>
      </c>
      <c r="U70" s="438">
        <f t="shared" si="15"/>
        <v>0</v>
      </c>
      <c r="V70" s="448">
        <f t="shared" si="16"/>
        <v>0</v>
      </c>
      <c r="W70" s="496">
        <f>55156.5+15813.25</f>
        <v>70969.75</v>
      </c>
      <c r="X70" s="445">
        <v>70969.75</v>
      </c>
      <c r="Y70" s="438">
        <f t="shared" si="17"/>
        <v>0</v>
      </c>
    </row>
    <row r="71" spans="1:25" s="229" customFormat="1">
      <c r="A71" s="443"/>
      <c r="B71" s="235" t="s">
        <v>365</v>
      </c>
      <c r="C71" s="495">
        <v>12750</v>
      </c>
      <c r="D71" s="444">
        <v>12750</v>
      </c>
      <c r="E71" s="438">
        <f t="shared" si="9"/>
        <v>0</v>
      </c>
      <c r="F71" s="496">
        <f>98593+123987.5+38992.95</f>
        <v>261573.45</v>
      </c>
      <c r="G71" s="445">
        <v>265653.45</v>
      </c>
      <c r="H71" s="438">
        <f t="shared" si="10"/>
        <v>-4080</v>
      </c>
      <c r="I71" s="496">
        <v>27.64</v>
      </c>
      <c r="J71" s="446">
        <v>27.64</v>
      </c>
      <c r="K71" s="496">
        <v>352410</v>
      </c>
      <c r="L71" s="445">
        <v>352410</v>
      </c>
      <c r="M71" s="438">
        <f t="shared" si="11"/>
        <v>0</v>
      </c>
      <c r="N71" s="447">
        <f t="shared" si="12"/>
        <v>0</v>
      </c>
      <c r="O71" s="496">
        <v>27.64</v>
      </c>
      <c r="P71" s="446">
        <v>27.64</v>
      </c>
      <c r="Q71" s="438">
        <f t="shared" si="13"/>
        <v>0</v>
      </c>
      <c r="R71" s="448">
        <f t="shared" si="14"/>
        <v>0</v>
      </c>
      <c r="S71" s="496">
        <v>352410</v>
      </c>
      <c r="T71" s="445">
        <v>352410</v>
      </c>
      <c r="U71" s="438">
        <f t="shared" si="15"/>
        <v>0</v>
      </c>
      <c r="V71" s="448">
        <f t="shared" si="16"/>
        <v>0</v>
      </c>
      <c r="W71" s="496">
        <f>98593+123987.5+38992.95</f>
        <v>261573.45</v>
      </c>
      <c r="X71" s="445">
        <v>265653.45</v>
      </c>
      <c r="Y71" s="438">
        <f t="shared" si="17"/>
        <v>-4080</v>
      </c>
    </row>
    <row r="72" spans="1:25" s="229" customFormat="1">
      <c r="A72" s="443"/>
      <c r="B72" s="235" t="s">
        <v>366</v>
      </c>
      <c r="C72" s="495">
        <v>1425</v>
      </c>
      <c r="D72" s="444">
        <v>1425</v>
      </c>
      <c r="E72" s="438">
        <f t="shared" si="9"/>
        <v>0</v>
      </c>
      <c r="F72" s="496">
        <v>58469.75</v>
      </c>
      <c r="G72" s="445">
        <v>58469.74</v>
      </c>
      <c r="H72" s="438">
        <f t="shared" si="10"/>
        <v>1.0000000002037268E-2</v>
      </c>
      <c r="I72" s="496">
        <v>105.87</v>
      </c>
      <c r="J72" s="446">
        <v>105.87</v>
      </c>
      <c r="K72" s="496">
        <v>150864.75</v>
      </c>
      <c r="L72" s="445">
        <v>150864.75</v>
      </c>
      <c r="M72" s="438">
        <f t="shared" si="11"/>
        <v>0</v>
      </c>
      <c r="N72" s="447">
        <f t="shared" si="12"/>
        <v>0</v>
      </c>
      <c r="O72" s="496">
        <v>105.87</v>
      </c>
      <c r="P72" s="446">
        <v>105.87</v>
      </c>
      <c r="Q72" s="438">
        <f t="shared" si="13"/>
        <v>0</v>
      </c>
      <c r="R72" s="448">
        <f t="shared" si="14"/>
        <v>0</v>
      </c>
      <c r="S72" s="496">
        <v>150864.75</v>
      </c>
      <c r="T72" s="445">
        <v>150864.75</v>
      </c>
      <c r="U72" s="438">
        <f t="shared" si="15"/>
        <v>0</v>
      </c>
      <c r="V72" s="448">
        <f t="shared" si="16"/>
        <v>0</v>
      </c>
      <c r="W72" s="496">
        <v>58469.75</v>
      </c>
      <c r="X72" s="445">
        <v>58469.74</v>
      </c>
      <c r="Y72" s="438">
        <f t="shared" si="17"/>
        <v>1.0000000002037268E-2</v>
      </c>
    </row>
    <row r="73" spans="1:25" s="229" customFormat="1">
      <c r="A73" s="443"/>
      <c r="B73" s="235" t="s">
        <v>367</v>
      </c>
      <c r="C73" s="495">
        <v>2000</v>
      </c>
      <c r="D73" s="444">
        <v>2000</v>
      </c>
      <c r="E73" s="438">
        <f t="shared" si="9"/>
        <v>0</v>
      </c>
      <c r="F73" s="496">
        <v>108180</v>
      </c>
      <c r="G73" s="445">
        <v>108180</v>
      </c>
      <c r="H73" s="438">
        <f t="shared" si="10"/>
        <v>0</v>
      </c>
      <c r="I73" s="496">
        <v>96.65</v>
      </c>
      <c r="J73" s="446">
        <v>96.65</v>
      </c>
      <c r="K73" s="496">
        <v>193300</v>
      </c>
      <c r="L73" s="445">
        <v>193300</v>
      </c>
      <c r="M73" s="438">
        <f t="shared" si="11"/>
        <v>0</v>
      </c>
      <c r="N73" s="447">
        <f t="shared" si="12"/>
        <v>0</v>
      </c>
      <c r="O73" s="496">
        <v>96.65</v>
      </c>
      <c r="P73" s="446">
        <v>96.65</v>
      </c>
      <c r="Q73" s="438">
        <f t="shared" si="13"/>
        <v>0</v>
      </c>
      <c r="R73" s="448">
        <f t="shared" si="14"/>
        <v>0</v>
      </c>
      <c r="S73" s="496">
        <v>193300</v>
      </c>
      <c r="T73" s="445">
        <v>193300</v>
      </c>
      <c r="U73" s="438">
        <f t="shared" si="15"/>
        <v>0</v>
      </c>
      <c r="V73" s="448">
        <f t="shared" si="16"/>
        <v>0</v>
      </c>
      <c r="W73" s="496">
        <v>108180</v>
      </c>
      <c r="X73" s="445">
        <v>108180</v>
      </c>
      <c r="Y73" s="438">
        <f t="shared" si="17"/>
        <v>0</v>
      </c>
    </row>
    <row r="74" spans="1:25" s="229" customFormat="1">
      <c r="A74" s="443"/>
      <c r="B74" s="235" t="s">
        <v>368</v>
      </c>
      <c r="C74" s="495">
        <v>2675</v>
      </c>
      <c r="D74" s="444">
        <v>2675</v>
      </c>
      <c r="E74" s="438">
        <f t="shared" si="9"/>
        <v>0</v>
      </c>
      <c r="F74" s="496">
        <f>24395+36631.92+65668.52</f>
        <v>126695.44</v>
      </c>
      <c r="G74" s="445">
        <v>126695.44</v>
      </c>
      <c r="H74" s="438">
        <f t="shared" si="10"/>
        <v>0</v>
      </c>
      <c r="I74" s="496">
        <v>63.57</v>
      </c>
      <c r="J74" s="446">
        <v>63.57</v>
      </c>
      <c r="K74" s="496">
        <v>170049.75</v>
      </c>
      <c r="L74" s="445">
        <v>170049.75</v>
      </c>
      <c r="M74" s="438">
        <f t="shared" si="11"/>
        <v>0</v>
      </c>
      <c r="N74" s="447">
        <f t="shared" si="12"/>
        <v>0</v>
      </c>
      <c r="O74" s="496">
        <v>63.57</v>
      </c>
      <c r="P74" s="446">
        <v>63.57</v>
      </c>
      <c r="Q74" s="438">
        <f t="shared" si="13"/>
        <v>0</v>
      </c>
      <c r="R74" s="448">
        <f t="shared" si="14"/>
        <v>0</v>
      </c>
      <c r="S74" s="496">
        <v>170049.75</v>
      </c>
      <c r="T74" s="445">
        <v>170049.75</v>
      </c>
      <c r="U74" s="438">
        <f t="shared" si="15"/>
        <v>0</v>
      </c>
      <c r="V74" s="448">
        <f t="shared" si="16"/>
        <v>0</v>
      </c>
      <c r="W74" s="496">
        <f>24395+36631.92+65668.52</f>
        <v>126695.44</v>
      </c>
      <c r="X74" s="445">
        <v>126695.44</v>
      </c>
      <c r="Y74" s="438">
        <f t="shared" si="17"/>
        <v>0</v>
      </c>
    </row>
    <row r="75" spans="1:25" s="229" customFormat="1">
      <c r="A75" s="443"/>
      <c r="B75" s="235" t="s">
        <v>369</v>
      </c>
      <c r="C75" s="495">
        <v>10100</v>
      </c>
      <c r="D75" s="444">
        <v>10100</v>
      </c>
      <c r="E75" s="438">
        <f t="shared" si="9"/>
        <v>0</v>
      </c>
      <c r="F75" s="496">
        <f>43413.9+100465</f>
        <v>143878.9</v>
      </c>
      <c r="G75" s="445">
        <v>143878.9</v>
      </c>
      <c r="H75" s="438">
        <f t="shared" si="10"/>
        <v>0</v>
      </c>
      <c r="I75" s="496">
        <v>17.2</v>
      </c>
      <c r="J75" s="446">
        <v>17.2</v>
      </c>
      <c r="K75" s="496">
        <v>173720</v>
      </c>
      <c r="L75" s="445">
        <v>173720</v>
      </c>
      <c r="M75" s="438">
        <f t="shared" si="11"/>
        <v>0</v>
      </c>
      <c r="N75" s="447">
        <f t="shared" si="12"/>
        <v>0</v>
      </c>
      <c r="O75" s="496">
        <v>17.2</v>
      </c>
      <c r="P75" s="446">
        <v>17.2</v>
      </c>
      <c r="Q75" s="438">
        <f t="shared" si="13"/>
        <v>0</v>
      </c>
      <c r="R75" s="448">
        <f t="shared" si="14"/>
        <v>0</v>
      </c>
      <c r="S75" s="496">
        <v>173720</v>
      </c>
      <c r="T75" s="445">
        <v>173720</v>
      </c>
      <c r="U75" s="438">
        <f t="shared" si="15"/>
        <v>0</v>
      </c>
      <c r="V75" s="448">
        <f t="shared" si="16"/>
        <v>0</v>
      </c>
      <c r="W75" s="496">
        <f>43413.9+100465</f>
        <v>143878.9</v>
      </c>
      <c r="X75" s="445">
        <v>143878.9</v>
      </c>
      <c r="Y75" s="438">
        <f t="shared" si="17"/>
        <v>0</v>
      </c>
    </row>
    <row r="76" spans="1:25" s="229" customFormat="1">
      <c r="A76" s="443"/>
      <c r="B76" s="235" t="s">
        <v>370</v>
      </c>
      <c r="C76" s="495">
        <v>4650</v>
      </c>
      <c r="D76" s="444">
        <v>4650</v>
      </c>
      <c r="E76" s="438">
        <f t="shared" si="9"/>
        <v>0</v>
      </c>
      <c r="F76" s="496">
        <v>232964.55</v>
      </c>
      <c r="G76" s="445">
        <v>232964.55</v>
      </c>
      <c r="H76" s="438">
        <f t="shared" si="10"/>
        <v>0</v>
      </c>
      <c r="I76" s="496">
        <v>66.83</v>
      </c>
      <c r="J76" s="446">
        <v>66.83</v>
      </c>
      <c r="K76" s="496">
        <v>310759.5</v>
      </c>
      <c r="L76" s="445">
        <v>310759.5</v>
      </c>
      <c r="M76" s="438">
        <f t="shared" si="11"/>
        <v>0</v>
      </c>
      <c r="N76" s="447">
        <f t="shared" si="12"/>
        <v>0</v>
      </c>
      <c r="O76" s="496">
        <v>66.83</v>
      </c>
      <c r="P76" s="446">
        <v>66.83</v>
      </c>
      <c r="Q76" s="438">
        <f t="shared" si="13"/>
        <v>0</v>
      </c>
      <c r="R76" s="448">
        <f t="shared" si="14"/>
        <v>0</v>
      </c>
      <c r="S76" s="496">
        <v>310759.5</v>
      </c>
      <c r="T76" s="445">
        <v>310759.5</v>
      </c>
      <c r="U76" s="438">
        <f t="shared" si="15"/>
        <v>0</v>
      </c>
      <c r="V76" s="448">
        <f t="shared" si="16"/>
        <v>0</v>
      </c>
      <c r="W76" s="496">
        <v>232964.55</v>
      </c>
      <c r="X76" s="445">
        <v>232964.55</v>
      </c>
      <c r="Y76" s="438">
        <f t="shared" si="17"/>
        <v>0</v>
      </c>
    </row>
    <row r="77" spans="1:25" s="229" customFormat="1">
      <c r="A77" s="443"/>
      <c r="B77" s="235" t="s">
        <v>371</v>
      </c>
      <c r="C77" s="495">
        <v>3500</v>
      </c>
      <c r="D77" s="444">
        <v>3500</v>
      </c>
      <c r="E77" s="438">
        <f t="shared" si="9"/>
        <v>0</v>
      </c>
      <c r="F77" s="496">
        <v>119279.65</v>
      </c>
      <c r="G77" s="445">
        <v>119279.65</v>
      </c>
      <c r="H77" s="438">
        <f t="shared" si="10"/>
        <v>0</v>
      </c>
      <c r="I77" s="496">
        <v>33.46</v>
      </c>
      <c r="J77" s="446">
        <v>33.46</v>
      </c>
      <c r="K77" s="496">
        <v>117110</v>
      </c>
      <c r="L77" s="445">
        <v>117110</v>
      </c>
      <c r="M77" s="438">
        <f t="shared" si="11"/>
        <v>0</v>
      </c>
      <c r="N77" s="447">
        <f t="shared" si="12"/>
        <v>0</v>
      </c>
      <c r="O77" s="496">
        <v>33.46</v>
      </c>
      <c r="P77" s="446">
        <v>33.46</v>
      </c>
      <c r="Q77" s="438">
        <f t="shared" si="13"/>
        <v>0</v>
      </c>
      <c r="R77" s="448">
        <f t="shared" si="14"/>
        <v>0</v>
      </c>
      <c r="S77" s="496">
        <v>117110</v>
      </c>
      <c r="T77" s="445">
        <v>117110</v>
      </c>
      <c r="U77" s="438">
        <f t="shared" si="15"/>
        <v>0</v>
      </c>
      <c r="V77" s="448">
        <f t="shared" si="16"/>
        <v>0</v>
      </c>
      <c r="W77" s="496">
        <v>119279.65</v>
      </c>
      <c r="X77" s="445">
        <v>119279.65</v>
      </c>
      <c r="Y77" s="438">
        <f t="shared" si="17"/>
        <v>0</v>
      </c>
    </row>
    <row r="78" spans="1:25" s="229" customFormat="1">
      <c r="A78" s="443"/>
      <c r="B78" s="235" t="s">
        <v>372</v>
      </c>
      <c r="C78" s="495">
        <v>10300</v>
      </c>
      <c r="D78" s="444">
        <v>10300</v>
      </c>
      <c r="E78" s="438">
        <f t="shared" si="9"/>
        <v>0</v>
      </c>
      <c r="F78" s="496">
        <v>290771.42</v>
      </c>
      <c r="G78" s="445">
        <v>290771.42</v>
      </c>
      <c r="H78" s="438">
        <f t="shared" si="10"/>
        <v>0</v>
      </c>
      <c r="I78" s="496">
        <v>23.27</v>
      </c>
      <c r="J78" s="446">
        <v>23.27</v>
      </c>
      <c r="K78" s="496">
        <v>239681</v>
      </c>
      <c r="L78" s="445">
        <v>239681</v>
      </c>
      <c r="M78" s="438">
        <f t="shared" si="11"/>
        <v>0</v>
      </c>
      <c r="N78" s="447">
        <f t="shared" si="12"/>
        <v>0</v>
      </c>
      <c r="O78" s="496">
        <v>23.27</v>
      </c>
      <c r="P78" s="446">
        <v>23.27</v>
      </c>
      <c r="Q78" s="438">
        <f t="shared" si="13"/>
        <v>0</v>
      </c>
      <c r="R78" s="448">
        <f t="shared" si="14"/>
        <v>0</v>
      </c>
      <c r="S78" s="496">
        <v>239681</v>
      </c>
      <c r="T78" s="445">
        <v>239681</v>
      </c>
      <c r="U78" s="438">
        <f t="shared" si="15"/>
        <v>0</v>
      </c>
      <c r="V78" s="448">
        <f t="shared" si="16"/>
        <v>0</v>
      </c>
      <c r="W78" s="496">
        <v>290771.42</v>
      </c>
      <c r="X78" s="445">
        <v>290771.42</v>
      </c>
      <c r="Y78" s="438">
        <f t="shared" si="17"/>
        <v>0</v>
      </c>
    </row>
    <row r="79" spans="1:25" s="229" customFormat="1">
      <c r="A79" s="443"/>
      <c r="B79" s="235" t="s">
        <v>373</v>
      </c>
      <c r="C79" s="495">
        <v>2500</v>
      </c>
      <c r="D79" s="444">
        <v>2500</v>
      </c>
      <c r="E79" s="438">
        <f t="shared" si="9"/>
        <v>0</v>
      </c>
      <c r="F79" s="496">
        <v>223489.6</v>
      </c>
      <c r="G79" s="445">
        <v>223489.6</v>
      </c>
      <c r="H79" s="438">
        <f t="shared" si="10"/>
        <v>0</v>
      </c>
      <c r="I79" s="496">
        <v>99.64</v>
      </c>
      <c r="J79" s="446">
        <v>99.64</v>
      </c>
      <c r="K79" s="496">
        <v>249100</v>
      </c>
      <c r="L79" s="445">
        <v>249100</v>
      </c>
      <c r="M79" s="438">
        <f t="shared" si="11"/>
        <v>0</v>
      </c>
      <c r="N79" s="447">
        <f t="shared" si="12"/>
        <v>0</v>
      </c>
      <c r="O79" s="496">
        <v>99.64</v>
      </c>
      <c r="P79" s="446">
        <v>99.64</v>
      </c>
      <c r="Q79" s="438">
        <f t="shared" si="13"/>
        <v>0</v>
      </c>
      <c r="R79" s="448">
        <f t="shared" si="14"/>
        <v>0</v>
      </c>
      <c r="S79" s="496">
        <v>249100</v>
      </c>
      <c r="T79" s="445">
        <v>249100</v>
      </c>
      <c r="U79" s="438">
        <f t="shared" si="15"/>
        <v>0</v>
      </c>
      <c r="V79" s="448">
        <f t="shared" si="16"/>
        <v>0</v>
      </c>
      <c r="W79" s="496">
        <v>223489.6</v>
      </c>
      <c r="X79" s="445">
        <v>223489.6</v>
      </c>
      <c r="Y79" s="438">
        <f t="shared" si="17"/>
        <v>0</v>
      </c>
    </row>
    <row r="80" spans="1:25" s="229" customFormat="1">
      <c r="A80" s="443"/>
      <c r="B80" s="235" t="s">
        <v>374</v>
      </c>
      <c r="C80" s="495">
        <v>4125</v>
      </c>
      <c r="D80" s="444">
        <v>4125</v>
      </c>
      <c r="E80" s="438">
        <f t="shared" si="9"/>
        <v>0</v>
      </c>
      <c r="F80" s="496">
        <v>143530.47</v>
      </c>
      <c r="G80" s="445">
        <v>148652.35999999999</v>
      </c>
      <c r="H80" s="438">
        <f t="shared" si="10"/>
        <v>-5121.8899999999849</v>
      </c>
      <c r="I80" s="496">
        <v>58.48</v>
      </c>
      <c r="J80" s="446">
        <v>58.48</v>
      </c>
      <c r="K80" s="496">
        <v>241230</v>
      </c>
      <c r="L80" s="445">
        <v>241230</v>
      </c>
      <c r="M80" s="438">
        <f t="shared" si="11"/>
        <v>0</v>
      </c>
      <c r="N80" s="447">
        <f t="shared" si="12"/>
        <v>0</v>
      </c>
      <c r="O80" s="496">
        <v>58.48</v>
      </c>
      <c r="P80" s="446">
        <v>58.48</v>
      </c>
      <c r="Q80" s="438">
        <f t="shared" si="13"/>
        <v>0</v>
      </c>
      <c r="R80" s="448">
        <f t="shared" si="14"/>
        <v>0</v>
      </c>
      <c r="S80" s="496">
        <v>241230</v>
      </c>
      <c r="T80" s="445">
        <v>241230</v>
      </c>
      <c r="U80" s="438">
        <f t="shared" si="15"/>
        <v>0</v>
      </c>
      <c r="V80" s="448">
        <f t="shared" si="16"/>
        <v>0</v>
      </c>
      <c r="W80" s="496">
        <v>143530.47</v>
      </c>
      <c r="X80" s="445">
        <v>148652.35999999999</v>
      </c>
      <c r="Y80" s="438">
        <f t="shared" si="17"/>
        <v>-5121.8899999999849</v>
      </c>
    </row>
    <row r="81" spans="1:26" s="229" customFormat="1">
      <c r="A81" s="443"/>
      <c r="B81" s="235" t="s">
        <v>375</v>
      </c>
      <c r="C81" s="495">
        <v>2750</v>
      </c>
      <c r="D81" s="444">
        <v>2750</v>
      </c>
      <c r="E81" s="438">
        <f t="shared" si="9"/>
        <v>0</v>
      </c>
      <c r="F81" s="496">
        <f>55811.04+68619.1</f>
        <v>124430.14000000001</v>
      </c>
      <c r="G81" s="445">
        <v>124542.48</v>
      </c>
      <c r="H81" s="438">
        <f t="shared" si="10"/>
        <v>-112.33999999998196</v>
      </c>
      <c r="I81" s="496">
        <v>54.4</v>
      </c>
      <c r="J81" s="446">
        <v>54.4</v>
      </c>
      <c r="K81" s="496">
        <v>149600</v>
      </c>
      <c r="L81" s="445">
        <v>149600</v>
      </c>
      <c r="M81" s="438">
        <f t="shared" si="11"/>
        <v>0</v>
      </c>
      <c r="N81" s="447">
        <f t="shared" si="12"/>
        <v>0</v>
      </c>
      <c r="O81" s="496">
        <v>54.4</v>
      </c>
      <c r="P81" s="446">
        <v>54.4</v>
      </c>
      <c r="Q81" s="438">
        <f t="shared" si="13"/>
        <v>0</v>
      </c>
      <c r="R81" s="448">
        <f t="shared" si="14"/>
        <v>0</v>
      </c>
      <c r="S81" s="496">
        <v>149600</v>
      </c>
      <c r="T81" s="445">
        <v>149600</v>
      </c>
      <c r="U81" s="438">
        <f t="shared" si="15"/>
        <v>0</v>
      </c>
      <c r="V81" s="448">
        <f t="shared" si="16"/>
        <v>0</v>
      </c>
      <c r="W81" s="496">
        <f>55811.04+68619.1</f>
        <v>124430.14000000001</v>
      </c>
      <c r="X81" s="445">
        <v>124542.48</v>
      </c>
      <c r="Y81" s="438">
        <f t="shared" si="17"/>
        <v>-112.33999999998196</v>
      </c>
    </row>
    <row r="82" spans="1:26" s="229" customFormat="1">
      <c r="A82" s="443"/>
      <c r="B82" s="235" t="s">
        <v>376</v>
      </c>
      <c r="C82" s="495">
        <v>2100</v>
      </c>
      <c r="D82" s="444">
        <v>2100</v>
      </c>
      <c r="E82" s="438">
        <f t="shared" si="9"/>
        <v>0</v>
      </c>
      <c r="F82" s="496">
        <f>8699+112000</f>
        <v>120699</v>
      </c>
      <c r="G82" s="445">
        <v>120699.2</v>
      </c>
      <c r="H82" s="438">
        <f t="shared" si="10"/>
        <v>-0.19999999999708962</v>
      </c>
      <c r="I82" s="496">
        <v>150.80000000000001</v>
      </c>
      <c r="J82" s="446">
        <v>150.41999999999999</v>
      </c>
      <c r="K82" s="496">
        <v>316680</v>
      </c>
      <c r="L82" s="445">
        <v>315882</v>
      </c>
      <c r="M82" s="438">
        <f t="shared" si="11"/>
        <v>798</v>
      </c>
      <c r="N82" s="447">
        <f t="shared" si="12"/>
        <v>2.5262598058768781E-3</v>
      </c>
      <c r="O82" s="496">
        <v>150.80000000000001</v>
      </c>
      <c r="P82" s="446">
        <v>150.41999999999999</v>
      </c>
      <c r="Q82" s="438">
        <f t="shared" si="13"/>
        <v>0.38000000000002387</v>
      </c>
      <c r="R82" s="448">
        <f t="shared" si="14"/>
        <v>2.5262598058770369E-3</v>
      </c>
      <c r="S82" s="496">
        <v>316680</v>
      </c>
      <c r="T82" s="445">
        <v>315882</v>
      </c>
      <c r="U82" s="438">
        <f t="shared" si="15"/>
        <v>798</v>
      </c>
      <c r="V82" s="448">
        <f t="shared" si="16"/>
        <v>2.5262598058768781E-3</v>
      </c>
      <c r="W82" s="496">
        <f>8699+112000</f>
        <v>120699</v>
      </c>
      <c r="X82" s="445">
        <v>120699.2</v>
      </c>
      <c r="Y82" s="438">
        <f t="shared" si="17"/>
        <v>-0.19999999999708962</v>
      </c>
      <c r="Z82" s="229" t="s">
        <v>386</v>
      </c>
    </row>
    <row r="83" spans="1:26" s="229" customFormat="1">
      <c r="A83" s="443"/>
      <c r="B83" s="235" t="s">
        <v>377</v>
      </c>
      <c r="C83" s="495">
        <v>4800</v>
      </c>
      <c r="D83" s="444">
        <v>4800</v>
      </c>
      <c r="E83" s="438">
        <f t="shared" si="9"/>
        <v>0</v>
      </c>
      <c r="F83" s="496">
        <v>198914.59</v>
      </c>
      <c r="G83" s="445">
        <v>198914.59</v>
      </c>
      <c r="H83" s="438">
        <f t="shared" si="10"/>
        <v>0</v>
      </c>
      <c r="I83" s="496">
        <v>29.75</v>
      </c>
      <c r="J83" s="446">
        <v>29.75</v>
      </c>
      <c r="K83" s="496">
        <v>142800</v>
      </c>
      <c r="L83" s="445">
        <v>142800</v>
      </c>
      <c r="M83" s="438">
        <f t="shared" si="11"/>
        <v>0</v>
      </c>
      <c r="N83" s="447">
        <f t="shared" si="12"/>
        <v>0</v>
      </c>
      <c r="O83" s="496">
        <v>29.75</v>
      </c>
      <c r="P83" s="446">
        <v>29.75</v>
      </c>
      <c r="Q83" s="438">
        <f t="shared" si="13"/>
        <v>0</v>
      </c>
      <c r="R83" s="448">
        <f t="shared" si="14"/>
        <v>0</v>
      </c>
      <c r="S83" s="496">
        <v>142800</v>
      </c>
      <c r="T83" s="445">
        <v>142800</v>
      </c>
      <c r="U83" s="438">
        <f t="shared" si="15"/>
        <v>0</v>
      </c>
      <c r="V83" s="448">
        <f t="shared" si="16"/>
        <v>0</v>
      </c>
      <c r="W83" s="496">
        <v>198914.59</v>
      </c>
      <c r="X83" s="445">
        <v>198914.59</v>
      </c>
      <c r="Y83" s="438">
        <f t="shared" si="17"/>
        <v>0</v>
      </c>
    </row>
    <row r="84" spans="1:26" s="229" customFormat="1">
      <c r="A84" s="443"/>
      <c r="B84" s="235" t="s">
        <v>378</v>
      </c>
      <c r="C84" s="495">
        <v>21700</v>
      </c>
      <c r="D84" s="444">
        <v>21700</v>
      </c>
      <c r="E84" s="438">
        <f t="shared" si="9"/>
        <v>0</v>
      </c>
      <c r="F84" s="496">
        <f>6820.1+39807+53755.2</f>
        <v>100382.29999999999</v>
      </c>
      <c r="G84" s="445">
        <v>100382.3</v>
      </c>
      <c r="H84" s="438">
        <f t="shared" si="10"/>
        <v>0</v>
      </c>
      <c r="I84" s="496">
        <v>2.69</v>
      </c>
      <c r="J84" s="446">
        <v>2.69</v>
      </c>
      <c r="K84" s="496">
        <v>58373</v>
      </c>
      <c r="L84" s="445">
        <v>58373</v>
      </c>
      <c r="M84" s="438">
        <f t="shared" si="11"/>
        <v>0</v>
      </c>
      <c r="N84" s="447">
        <f t="shared" si="12"/>
        <v>0</v>
      </c>
      <c r="O84" s="496">
        <v>2.69</v>
      </c>
      <c r="P84" s="446">
        <v>2.69</v>
      </c>
      <c r="Q84" s="438">
        <f t="shared" si="13"/>
        <v>0</v>
      </c>
      <c r="R84" s="448">
        <f t="shared" si="14"/>
        <v>0</v>
      </c>
      <c r="S84" s="496">
        <v>58373</v>
      </c>
      <c r="T84" s="445">
        <v>58373</v>
      </c>
      <c r="U84" s="438">
        <f t="shared" si="15"/>
        <v>0</v>
      </c>
      <c r="V84" s="448">
        <f t="shared" si="16"/>
        <v>0</v>
      </c>
      <c r="W84" s="496">
        <f>6820.1+39807+53755.2</f>
        <v>100382.29999999999</v>
      </c>
      <c r="X84" s="445">
        <v>100382.3</v>
      </c>
      <c r="Y84" s="438">
        <f t="shared" si="17"/>
        <v>0</v>
      </c>
    </row>
    <row r="85" spans="1:26" s="229" customFormat="1">
      <c r="A85" s="443"/>
      <c r="B85" s="235" t="s">
        <v>379</v>
      </c>
      <c r="C85" s="495">
        <v>11200</v>
      </c>
      <c r="D85" s="444">
        <v>11200</v>
      </c>
      <c r="E85" s="438">
        <f t="shared" si="9"/>
        <v>0</v>
      </c>
      <c r="F85" s="496">
        <f>61996.96+60669+12376+92966+53260.66</f>
        <v>281268.62</v>
      </c>
      <c r="G85" s="445">
        <v>281268.62</v>
      </c>
      <c r="H85" s="438">
        <f t="shared" si="10"/>
        <v>0</v>
      </c>
      <c r="I85" s="496">
        <v>29.99</v>
      </c>
      <c r="J85" s="446">
        <v>29.99</v>
      </c>
      <c r="K85" s="496">
        <v>335888</v>
      </c>
      <c r="L85" s="445">
        <v>335888</v>
      </c>
      <c r="M85" s="438">
        <f t="shared" si="11"/>
        <v>0</v>
      </c>
      <c r="N85" s="447">
        <f t="shared" si="12"/>
        <v>0</v>
      </c>
      <c r="O85" s="496">
        <v>29.99</v>
      </c>
      <c r="P85" s="446">
        <v>29.99</v>
      </c>
      <c r="Q85" s="438">
        <f t="shared" si="13"/>
        <v>0</v>
      </c>
      <c r="R85" s="448">
        <f t="shared" si="14"/>
        <v>0</v>
      </c>
      <c r="S85" s="496">
        <v>335888</v>
      </c>
      <c r="T85" s="445">
        <v>335888</v>
      </c>
      <c r="U85" s="438">
        <f t="shared" si="15"/>
        <v>0</v>
      </c>
      <c r="V85" s="448">
        <f t="shared" si="16"/>
        <v>0</v>
      </c>
      <c r="W85" s="496">
        <f>61996.96+60669+12376+92966+53260.66</f>
        <v>281268.62</v>
      </c>
      <c r="X85" s="445">
        <v>281268.62</v>
      </c>
      <c r="Y85" s="438">
        <f t="shared" si="17"/>
        <v>0</v>
      </c>
    </row>
    <row r="86" spans="1:26" s="229" customFormat="1">
      <c r="A86" s="443"/>
      <c r="B86" s="235" t="s">
        <v>380</v>
      </c>
      <c r="C86" s="495">
        <v>9700</v>
      </c>
      <c r="D86" s="444">
        <v>9700</v>
      </c>
      <c r="E86" s="438">
        <f t="shared" si="9"/>
        <v>0</v>
      </c>
      <c r="F86" s="496">
        <v>221569.1</v>
      </c>
      <c r="G86" s="445">
        <v>221569.1</v>
      </c>
      <c r="H86" s="438">
        <f t="shared" si="10"/>
        <v>0</v>
      </c>
      <c r="I86" s="496">
        <v>19.3</v>
      </c>
      <c r="J86" s="446">
        <v>19.3</v>
      </c>
      <c r="K86" s="496">
        <v>187210</v>
      </c>
      <c r="L86" s="445">
        <v>187210</v>
      </c>
      <c r="M86" s="438">
        <f t="shared" si="11"/>
        <v>0</v>
      </c>
      <c r="N86" s="447">
        <f t="shared" si="12"/>
        <v>0</v>
      </c>
      <c r="O86" s="496">
        <v>19.3</v>
      </c>
      <c r="P86" s="446">
        <v>19.3</v>
      </c>
      <c r="Q86" s="438">
        <f t="shared" si="13"/>
        <v>0</v>
      </c>
      <c r="R86" s="448">
        <f t="shared" si="14"/>
        <v>0</v>
      </c>
      <c r="S86" s="496">
        <v>187210</v>
      </c>
      <c r="T86" s="445">
        <v>187210</v>
      </c>
      <c r="U86" s="438">
        <f t="shared" si="15"/>
        <v>0</v>
      </c>
      <c r="V86" s="448">
        <f t="shared" si="16"/>
        <v>0</v>
      </c>
      <c r="W86" s="496">
        <v>221569.1</v>
      </c>
      <c r="X86" s="445">
        <v>221569.1</v>
      </c>
      <c r="Y86" s="438">
        <f t="shared" si="17"/>
        <v>0</v>
      </c>
    </row>
    <row r="87" spans="1:26" s="229" customFormat="1">
      <c r="A87" s="443"/>
      <c r="B87" s="235" t="s">
        <v>381</v>
      </c>
      <c r="C87" s="495">
        <v>7600</v>
      </c>
      <c r="D87" s="444">
        <v>7600</v>
      </c>
      <c r="E87" s="438">
        <f t="shared" si="9"/>
        <v>0</v>
      </c>
      <c r="F87" s="496">
        <v>184564.24</v>
      </c>
      <c r="G87" s="445">
        <v>184564.24</v>
      </c>
      <c r="H87" s="438">
        <f t="shared" si="10"/>
        <v>0</v>
      </c>
      <c r="I87" s="496">
        <v>24.4</v>
      </c>
      <c r="J87" s="446">
        <v>24.4</v>
      </c>
      <c r="K87" s="496">
        <v>185440</v>
      </c>
      <c r="L87" s="445">
        <v>185440</v>
      </c>
      <c r="M87" s="438">
        <f t="shared" si="11"/>
        <v>0</v>
      </c>
      <c r="N87" s="447">
        <f t="shared" si="12"/>
        <v>0</v>
      </c>
      <c r="O87" s="496">
        <v>24.4</v>
      </c>
      <c r="P87" s="446">
        <v>24.4</v>
      </c>
      <c r="Q87" s="438">
        <f t="shared" si="13"/>
        <v>0</v>
      </c>
      <c r="R87" s="448">
        <f t="shared" si="14"/>
        <v>0</v>
      </c>
      <c r="S87" s="496">
        <v>185440</v>
      </c>
      <c r="T87" s="445">
        <v>185440</v>
      </c>
      <c r="U87" s="438">
        <f t="shared" si="15"/>
        <v>0</v>
      </c>
      <c r="V87" s="448">
        <f t="shared" si="16"/>
        <v>0</v>
      </c>
      <c r="W87" s="496">
        <v>184564.24</v>
      </c>
      <c r="X87" s="445">
        <v>184564.24</v>
      </c>
      <c r="Y87" s="438">
        <f t="shared" si="17"/>
        <v>0</v>
      </c>
    </row>
    <row r="88" spans="1:26" s="229" customFormat="1">
      <c r="A88" s="443"/>
      <c r="B88" s="235" t="s">
        <v>382</v>
      </c>
      <c r="C88" s="495">
        <v>8500</v>
      </c>
      <c r="D88" s="444">
        <v>8500</v>
      </c>
      <c r="E88" s="438">
        <f t="shared" si="9"/>
        <v>0</v>
      </c>
      <c r="F88" s="496">
        <v>210683.15</v>
      </c>
      <c r="G88" s="445">
        <v>210683.15</v>
      </c>
      <c r="H88" s="438">
        <f t="shared" si="10"/>
        <v>0</v>
      </c>
      <c r="I88" s="496">
        <v>37.79</v>
      </c>
      <c r="J88" s="446">
        <v>37.79</v>
      </c>
      <c r="K88" s="496">
        <v>321215</v>
      </c>
      <c r="L88" s="445">
        <v>321215</v>
      </c>
      <c r="M88" s="438">
        <f t="shared" si="11"/>
        <v>0</v>
      </c>
      <c r="N88" s="447">
        <f t="shared" si="12"/>
        <v>0</v>
      </c>
      <c r="O88" s="496">
        <v>37.79</v>
      </c>
      <c r="P88" s="446">
        <v>37.79</v>
      </c>
      <c r="Q88" s="438">
        <f t="shared" si="13"/>
        <v>0</v>
      </c>
      <c r="R88" s="448">
        <f t="shared" si="14"/>
        <v>0</v>
      </c>
      <c r="S88" s="496">
        <v>321215</v>
      </c>
      <c r="T88" s="445">
        <v>321215</v>
      </c>
      <c r="U88" s="438">
        <f t="shared" si="15"/>
        <v>0</v>
      </c>
      <c r="V88" s="448">
        <f t="shared" si="16"/>
        <v>0</v>
      </c>
      <c r="W88" s="496">
        <v>210683.15</v>
      </c>
      <c r="X88" s="445">
        <v>210683.15</v>
      </c>
      <c r="Y88" s="438">
        <f t="shared" si="17"/>
        <v>0</v>
      </c>
    </row>
    <row r="89" spans="1:26" s="229" customFormat="1">
      <c r="A89" s="443"/>
      <c r="B89" s="235" t="s">
        <v>383</v>
      </c>
      <c r="C89" s="495">
        <v>3825</v>
      </c>
      <c r="D89" s="444">
        <v>3825</v>
      </c>
      <c r="E89" s="438">
        <f t="shared" si="9"/>
        <v>0</v>
      </c>
      <c r="F89" s="496">
        <f>71026.89+18837.44+40939.6+40171.89</f>
        <v>170975.82</v>
      </c>
      <c r="G89" s="445">
        <v>170975.82</v>
      </c>
      <c r="H89" s="438">
        <f t="shared" si="10"/>
        <v>0</v>
      </c>
      <c r="I89" s="496">
        <v>30.85</v>
      </c>
      <c r="J89" s="446">
        <v>30.85</v>
      </c>
      <c r="K89" s="496">
        <v>118001.25</v>
      </c>
      <c r="L89" s="445">
        <v>118001.25</v>
      </c>
      <c r="M89" s="438">
        <f t="shared" si="11"/>
        <v>0</v>
      </c>
      <c r="N89" s="447">
        <f t="shared" si="12"/>
        <v>0</v>
      </c>
      <c r="O89" s="496">
        <v>30.85</v>
      </c>
      <c r="P89" s="446">
        <v>30.85</v>
      </c>
      <c r="Q89" s="438">
        <f t="shared" si="13"/>
        <v>0</v>
      </c>
      <c r="R89" s="448">
        <f t="shared" si="14"/>
        <v>0</v>
      </c>
      <c r="S89" s="496">
        <v>118001.25</v>
      </c>
      <c r="T89" s="445">
        <v>118001.25</v>
      </c>
      <c r="U89" s="438">
        <f t="shared" si="15"/>
        <v>0</v>
      </c>
      <c r="V89" s="448">
        <f t="shared" si="16"/>
        <v>0</v>
      </c>
      <c r="W89" s="496">
        <f>71026.89+18837.44+40939.6+40171.89</f>
        <v>170975.82</v>
      </c>
      <c r="X89" s="445">
        <v>170975.82</v>
      </c>
      <c r="Y89" s="438">
        <f t="shared" si="17"/>
        <v>0</v>
      </c>
    </row>
    <row r="90" spans="1:26" s="229" customFormat="1">
      <c r="A90" s="443"/>
      <c r="B90" s="235" t="s">
        <v>384</v>
      </c>
      <c r="C90" s="495">
        <v>2500</v>
      </c>
      <c r="D90" s="444">
        <v>2500</v>
      </c>
      <c r="E90" s="438">
        <f t="shared" si="9"/>
        <v>0</v>
      </c>
      <c r="F90" s="496">
        <f>31548+41819.94+38668+63736.56</f>
        <v>175772.5</v>
      </c>
      <c r="G90" s="445">
        <v>175772.5</v>
      </c>
      <c r="H90" s="438">
        <f t="shared" si="10"/>
        <v>0</v>
      </c>
      <c r="I90" s="496">
        <v>103.74</v>
      </c>
      <c r="J90" s="446">
        <v>103.74</v>
      </c>
      <c r="K90" s="496">
        <v>259350</v>
      </c>
      <c r="L90" s="445">
        <v>259350</v>
      </c>
      <c r="M90" s="438">
        <f t="shared" si="11"/>
        <v>0</v>
      </c>
      <c r="N90" s="447">
        <f t="shared" si="12"/>
        <v>0</v>
      </c>
      <c r="O90" s="496">
        <v>103.74</v>
      </c>
      <c r="P90" s="446">
        <v>103.74</v>
      </c>
      <c r="Q90" s="438">
        <f t="shared" si="13"/>
        <v>0</v>
      </c>
      <c r="R90" s="448">
        <f t="shared" si="14"/>
        <v>0</v>
      </c>
      <c r="S90" s="496">
        <v>259350</v>
      </c>
      <c r="T90" s="445">
        <v>259350</v>
      </c>
      <c r="U90" s="438">
        <f t="shared" si="15"/>
        <v>0</v>
      </c>
      <c r="V90" s="448">
        <f t="shared" si="16"/>
        <v>0</v>
      </c>
      <c r="W90" s="496">
        <f>31548+41819.94+38668+63736.56</f>
        <v>175772.5</v>
      </c>
      <c r="X90" s="445">
        <v>175772.5</v>
      </c>
      <c r="Y90" s="438">
        <f t="shared" si="17"/>
        <v>0</v>
      </c>
    </row>
    <row r="91" spans="1:26" s="229" customFormat="1">
      <c r="A91" s="443"/>
      <c r="B91" s="235" t="s">
        <v>385</v>
      </c>
      <c r="C91" s="495">
        <v>10700</v>
      </c>
      <c r="D91" s="444">
        <v>10700</v>
      </c>
      <c r="E91" s="438">
        <f t="shared" si="9"/>
        <v>0</v>
      </c>
      <c r="F91" s="496">
        <f>77501.27+18644.85+15986.45</f>
        <v>112132.56999999999</v>
      </c>
      <c r="G91" s="445">
        <v>112072.82</v>
      </c>
      <c r="H91" s="438">
        <f t="shared" si="10"/>
        <v>59.749999999985448</v>
      </c>
      <c r="I91" s="496">
        <v>21.36</v>
      </c>
      <c r="J91" s="446">
        <v>21.36</v>
      </c>
      <c r="K91" s="496">
        <v>228552</v>
      </c>
      <c r="L91" s="445">
        <v>228552</v>
      </c>
      <c r="M91" s="438">
        <f t="shared" si="11"/>
        <v>0</v>
      </c>
      <c r="N91" s="447">
        <f t="shared" si="12"/>
        <v>0</v>
      </c>
      <c r="O91" s="496">
        <v>21.36</v>
      </c>
      <c r="P91" s="446">
        <v>21.36</v>
      </c>
      <c r="Q91" s="438">
        <f t="shared" si="13"/>
        <v>0</v>
      </c>
      <c r="R91" s="448">
        <f t="shared" si="14"/>
        <v>0</v>
      </c>
      <c r="S91" s="496">
        <v>228552</v>
      </c>
      <c r="T91" s="445">
        <v>228552</v>
      </c>
      <c r="U91" s="438">
        <f t="shared" si="15"/>
        <v>0</v>
      </c>
      <c r="V91" s="448">
        <f t="shared" si="16"/>
        <v>0</v>
      </c>
      <c r="W91" s="496">
        <f>77501.27+18644.85+15986.45</f>
        <v>112132.56999999999</v>
      </c>
      <c r="X91" s="445">
        <v>112072.82</v>
      </c>
      <c r="Y91" s="438">
        <f t="shared" si="17"/>
        <v>59.749999999985448</v>
      </c>
    </row>
    <row r="92" spans="1:26">
      <c r="A92" s="255"/>
      <c r="B92" s="255"/>
      <c r="D92" s="444"/>
      <c r="E92" s="438"/>
      <c r="F92" s="322"/>
      <c r="G92" s="445"/>
      <c r="H92" s="438"/>
      <c r="I92" s="455"/>
      <c r="J92" s="450"/>
      <c r="K92" s="322"/>
      <c r="L92" s="451"/>
      <c r="M92" s="438"/>
      <c r="N92" s="448"/>
      <c r="O92" s="453"/>
      <c r="P92" s="454"/>
      <c r="Q92" s="438"/>
      <c r="R92" s="448"/>
      <c r="S92" s="322"/>
      <c r="T92" s="444"/>
      <c r="U92" s="438"/>
      <c r="V92" s="448"/>
      <c r="W92" s="322"/>
      <c r="X92" s="445"/>
      <c r="Y92" s="438"/>
    </row>
    <row r="93" spans="1:26">
      <c r="A93" s="255"/>
      <c r="B93" s="255"/>
      <c r="D93" s="444"/>
      <c r="E93" s="438"/>
      <c r="F93" s="322"/>
      <c r="G93" s="445"/>
      <c r="H93" s="438"/>
      <c r="I93" s="455"/>
      <c r="J93" s="450"/>
      <c r="K93" s="322"/>
      <c r="L93" s="451"/>
      <c r="M93" s="438"/>
      <c r="N93" s="448"/>
      <c r="O93" s="453"/>
      <c r="P93" s="454"/>
      <c r="Q93" s="438"/>
      <c r="R93" s="448"/>
      <c r="S93" s="322"/>
      <c r="T93" s="444"/>
      <c r="U93" s="438"/>
      <c r="V93" s="448"/>
      <c r="W93" s="322"/>
      <c r="X93" s="445"/>
      <c r="Y93" s="438"/>
    </row>
    <row r="94" spans="1:26" s="467" customFormat="1">
      <c r="A94" s="456"/>
      <c r="B94" s="456"/>
      <c r="C94" s="457"/>
      <c r="D94" s="458"/>
      <c r="E94" s="459"/>
      <c r="F94" s="457"/>
      <c r="G94" s="460"/>
      <c r="H94" s="459"/>
      <c r="I94" s="461"/>
      <c r="J94" s="462"/>
      <c r="K94" s="457"/>
      <c r="L94" s="463"/>
      <c r="M94" s="459"/>
      <c r="N94" s="464"/>
      <c r="O94" s="465"/>
      <c r="P94" s="466"/>
      <c r="Q94" s="459"/>
      <c r="R94" s="464"/>
      <c r="S94" s="457"/>
      <c r="T94" s="458"/>
      <c r="U94" s="459"/>
      <c r="V94" s="464"/>
      <c r="W94" s="457"/>
      <c r="X94" s="460"/>
      <c r="Y94" s="459"/>
    </row>
    <row r="95" spans="1:26">
      <c r="A95" s="255"/>
      <c r="B95" s="255"/>
      <c r="D95" s="444"/>
      <c r="E95" s="438"/>
      <c r="F95" s="322"/>
      <c r="G95" s="445"/>
      <c r="H95" s="438"/>
      <c r="I95" s="455"/>
      <c r="J95" s="450"/>
      <c r="K95" s="322"/>
      <c r="L95" s="451"/>
      <c r="M95" s="438"/>
      <c r="N95" s="448"/>
      <c r="O95" s="453"/>
      <c r="P95" s="454"/>
      <c r="Q95" s="438"/>
      <c r="R95" s="448"/>
      <c r="S95" s="322"/>
      <c r="T95" s="444"/>
      <c r="U95" s="438"/>
      <c r="V95" s="448"/>
      <c r="W95" s="322"/>
      <c r="X95" s="445"/>
      <c r="Y95" s="438"/>
    </row>
    <row r="96" spans="1:26">
      <c r="A96" s="449"/>
      <c r="B96" s="449"/>
      <c r="C96" s="449"/>
      <c r="D96" s="452"/>
      <c r="F96" s="449"/>
      <c r="I96" s="469"/>
    </row>
    <row r="97" spans="1:25" ht="13.8" thickBot="1">
      <c r="A97" s="231"/>
      <c r="B97" s="231"/>
      <c r="C97" s="471">
        <f>SUM(C3:C96)</f>
        <v>659625</v>
      </c>
      <c r="D97" s="471">
        <f>SUM(D3:D95)</f>
        <v>659625</v>
      </c>
      <c r="E97" s="414">
        <f>SUM(E3:E95)</f>
        <v>0</v>
      </c>
      <c r="F97" s="57">
        <f>SUM(F3:F95)</f>
        <v>16431240.990000004</v>
      </c>
      <c r="G97" s="57">
        <f>SUM(G3:G95)</f>
        <v>16470504.040000001</v>
      </c>
      <c r="H97" s="57">
        <f>SUM(H3:H95)</f>
        <v>-39263.049999999937</v>
      </c>
      <c r="I97" s="57"/>
      <c r="J97" s="57"/>
      <c r="K97" s="57">
        <f>SUM(K3:K96)</f>
        <v>20269611.75</v>
      </c>
      <c r="L97" s="57">
        <f>SUM(L3:L96)</f>
        <v>20268813.75</v>
      </c>
      <c r="M97" s="57">
        <f>SUM(M3:M95)</f>
        <v>798</v>
      </c>
      <c r="N97" s="57"/>
      <c r="O97" s="472"/>
      <c r="P97" s="57"/>
      <c r="Q97" s="57"/>
      <c r="R97" s="57"/>
      <c r="S97" s="57">
        <f>SUM(S3:S96)</f>
        <v>20269611.75</v>
      </c>
      <c r="T97" s="57">
        <f>SUM(T3:T96)</f>
        <v>20268813.75</v>
      </c>
      <c r="U97" s="473">
        <f>SUM(U3:U95)</f>
        <v>798</v>
      </c>
      <c r="V97" s="473"/>
      <c r="W97" s="57">
        <f>SUM(W3:W95)</f>
        <v>16431240.990000004</v>
      </c>
      <c r="X97" s="57">
        <f>SUM(X3:X95)</f>
        <v>16470504.040000001</v>
      </c>
      <c r="Y97" s="57">
        <f>SUM(Y3:Y95)</f>
        <v>-39263.049999999937</v>
      </c>
    </row>
    <row r="98" spans="1:25" ht="14.4" thickTop="1" thickBot="1">
      <c r="F98" s="232"/>
      <c r="G98" s="232"/>
    </row>
    <row r="99" spans="1:25" ht="13.8" thickBot="1">
      <c r="A99" s="475" t="s">
        <v>201</v>
      </c>
      <c r="B99" s="476"/>
      <c r="C99" s="477"/>
      <c r="D99" s="478"/>
      <c r="E99" s="477"/>
      <c r="F99" s="479"/>
      <c r="G99" s="480"/>
    </row>
    <row r="102" spans="1:25">
      <c r="A102" s="234" t="s">
        <v>186</v>
      </c>
      <c r="B102" s="481"/>
      <c r="C102" s="482"/>
    </row>
    <row r="105" spans="1:25">
      <c r="B105" s="322"/>
    </row>
    <row r="106" spans="1:25">
      <c r="B106" s="322"/>
    </row>
    <row r="107" spans="1:25">
      <c r="B107" s="322"/>
    </row>
  </sheetData>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sheetPr codeName="Sheet12">
    <pageSetUpPr fitToPage="1"/>
  </sheetPr>
  <dimension ref="A1:R63"/>
  <sheetViews>
    <sheetView zoomScaleNormal="100" workbookViewId="0">
      <pane xSplit="4" topLeftCell="E1" activePane="topRight" state="frozen"/>
      <selection activeCell="G22" sqref="G22"/>
      <selection pane="topRight" activeCell="M26" sqref="M26"/>
    </sheetView>
  </sheetViews>
  <sheetFormatPr defaultColWidth="8.88671875" defaultRowHeight="12"/>
  <cols>
    <col min="1" max="1" width="11.5546875" style="242" customWidth="1"/>
    <col min="2" max="2" width="6.44140625" style="242" bestFit="1" customWidth="1"/>
    <col min="3" max="3" width="12.6640625" style="242" customWidth="1"/>
    <col min="4" max="4" width="33.33203125" style="242" customWidth="1"/>
    <col min="5" max="6" width="21.88671875" style="242" customWidth="1"/>
    <col min="7" max="7" width="15.5546875" style="242" customWidth="1"/>
    <col min="8" max="8" width="18.6640625" style="242" customWidth="1"/>
    <col min="9" max="9" width="24.33203125" style="242" customWidth="1"/>
    <col min="10" max="10" width="21.6640625" style="242" customWidth="1"/>
    <col min="11" max="11" width="6.109375" style="242" bestFit="1" customWidth="1"/>
    <col min="12" max="13" width="21.33203125" style="242" bestFit="1" customWidth="1"/>
    <col min="14" max="14" width="22" style="242" bestFit="1" customWidth="1"/>
    <col min="15" max="15" width="18" style="285" bestFit="1" customWidth="1"/>
    <col min="16" max="16" width="50.5546875" style="285" bestFit="1" customWidth="1"/>
    <col min="17" max="17" width="8.6640625" style="242" bestFit="1" customWidth="1"/>
    <col min="18" max="18" width="11.5546875" style="242" bestFit="1" customWidth="1"/>
    <col min="19" max="19" width="18.44140625" style="242" customWidth="1"/>
    <col min="20" max="16384" width="8.88671875" style="242"/>
  </cols>
  <sheetData>
    <row r="1" spans="1:18" ht="60.6" thickBot="1">
      <c r="A1" s="430" t="s">
        <v>129</v>
      </c>
      <c r="B1" s="430" t="s">
        <v>61</v>
      </c>
      <c r="C1" s="430" t="s">
        <v>65</v>
      </c>
      <c r="D1" s="430" t="s">
        <v>51</v>
      </c>
      <c r="E1" s="364" t="s">
        <v>187</v>
      </c>
      <c r="F1" s="431" t="s">
        <v>177</v>
      </c>
      <c r="G1" s="432" t="s">
        <v>178</v>
      </c>
      <c r="H1" s="364" t="s">
        <v>62</v>
      </c>
      <c r="I1" s="364" t="s">
        <v>196</v>
      </c>
      <c r="J1" s="364" t="s">
        <v>197</v>
      </c>
      <c r="K1" s="364" t="s">
        <v>198</v>
      </c>
      <c r="L1" s="364" t="s">
        <v>124</v>
      </c>
      <c r="M1" s="431" t="s">
        <v>175</v>
      </c>
      <c r="N1" s="431" t="s">
        <v>176</v>
      </c>
      <c r="O1" s="433" t="s">
        <v>125</v>
      </c>
      <c r="P1" s="428" t="s">
        <v>126</v>
      </c>
      <c r="Q1" s="259" t="s">
        <v>121</v>
      </c>
      <c r="R1" s="260" t="s">
        <v>128</v>
      </c>
    </row>
    <row r="2" spans="1:18" ht="13.2">
      <c r="A2" s="426" t="s">
        <v>295</v>
      </c>
      <c r="B2" s="493" t="s">
        <v>265</v>
      </c>
      <c r="C2" s="493" t="s">
        <v>283</v>
      </c>
      <c r="D2" s="493" t="s">
        <v>271</v>
      </c>
      <c r="E2" s="494">
        <v>1040</v>
      </c>
      <c r="F2" s="244">
        <v>1040</v>
      </c>
      <c r="G2" s="245"/>
      <c r="H2" s="494"/>
      <c r="I2" s="364"/>
      <c r="J2" s="364"/>
      <c r="K2" s="252"/>
      <c r="L2" s="494">
        <v>1040</v>
      </c>
      <c r="M2" s="253">
        <v>1040</v>
      </c>
      <c r="N2" s="253"/>
      <c r="O2" s="253">
        <f>M2-L2</f>
        <v>0</v>
      </c>
      <c r="P2" s="429"/>
      <c r="Q2" s="248"/>
      <c r="R2" s="249"/>
    </row>
    <row r="3" spans="1:18" ht="13.2">
      <c r="A3" s="426" t="s">
        <v>295</v>
      </c>
      <c r="B3" s="493" t="s">
        <v>265</v>
      </c>
      <c r="C3" s="493" t="s">
        <v>284</v>
      </c>
      <c r="D3" s="493" t="s">
        <v>272</v>
      </c>
      <c r="E3" s="494">
        <v>525</v>
      </c>
      <c r="F3" s="244">
        <f>419.65+105.35</f>
        <v>525</v>
      </c>
      <c r="G3" s="245"/>
      <c r="H3" s="494"/>
      <c r="I3" s="364"/>
      <c r="J3" s="364"/>
      <c r="K3" s="252"/>
      <c r="L3" s="494">
        <v>525</v>
      </c>
      <c r="M3" s="253">
        <f>419.65+105.35</f>
        <v>525</v>
      </c>
      <c r="N3" s="253"/>
      <c r="O3" s="253">
        <f t="shared" ref="O3:O41" si="0">M3-L3</f>
        <v>0</v>
      </c>
      <c r="P3" s="429"/>
      <c r="Q3" s="248"/>
      <c r="R3" s="249"/>
    </row>
    <row r="4" spans="1:18" ht="13.2">
      <c r="A4" s="426" t="s">
        <v>295</v>
      </c>
      <c r="B4" s="493" t="s">
        <v>265</v>
      </c>
      <c r="C4" s="493" t="s">
        <v>285</v>
      </c>
      <c r="D4" s="493" t="s">
        <v>273</v>
      </c>
      <c r="E4" s="494">
        <v>795</v>
      </c>
      <c r="F4" s="244">
        <v>795</v>
      </c>
      <c r="G4" s="245"/>
      <c r="H4" s="494"/>
      <c r="I4" s="364"/>
      <c r="J4" s="364"/>
      <c r="K4" s="252"/>
      <c r="L4" s="494">
        <v>795</v>
      </c>
      <c r="M4" s="253">
        <v>795</v>
      </c>
      <c r="N4" s="253"/>
      <c r="O4" s="253">
        <f t="shared" si="0"/>
        <v>0</v>
      </c>
      <c r="P4" s="429"/>
      <c r="Q4" s="248"/>
      <c r="R4" s="249"/>
    </row>
    <row r="5" spans="1:18" ht="13.2">
      <c r="A5" s="426" t="s">
        <v>295</v>
      </c>
      <c r="B5" s="493" t="s">
        <v>265</v>
      </c>
      <c r="C5" s="493" t="s">
        <v>286</v>
      </c>
      <c r="D5" s="493" t="s">
        <v>274</v>
      </c>
      <c r="E5" s="494">
        <v>1425</v>
      </c>
      <c r="F5" s="244">
        <f>530+895</f>
        <v>1425</v>
      </c>
      <c r="G5" s="245"/>
      <c r="H5" s="494"/>
      <c r="I5" s="364"/>
      <c r="J5" s="364"/>
      <c r="K5" s="252"/>
      <c r="L5" s="494">
        <v>1425</v>
      </c>
      <c r="M5" s="253">
        <f>530+895</f>
        <v>1425</v>
      </c>
      <c r="N5" s="253"/>
      <c r="O5" s="253">
        <f t="shared" si="0"/>
        <v>0</v>
      </c>
      <c r="P5" s="429"/>
      <c r="Q5" s="248"/>
      <c r="R5" s="249"/>
    </row>
    <row r="6" spans="1:18" ht="13.2">
      <c r="A6" s="426" t="s">
        <v>295</v>
      </c>
      <c r="B6" s="493" t="s">
        <v>265</v>
      </c>
      <c r="C6" s="493" t="s">
        <v>287</v>
      </c>
      <c r="D6" s="493" t="s">
        <v>275</v>
      </c>
      <c r="E6" s="494">
        <v>392.5</v>
      </c>
      <c r="F6" s="244">
        <v>392.5</v>
      </c>
      <c r="G6" s="245"/>
      <c r="H6" s="494"/>
      <c r="I6" s="364"/>
      <c r="J6" s="364"/>
      <c r="K6" s="252"/>
      <c r="L6" s="494">
        <v>392.5</v>
      </c>
      <c r="M6" s="253">
        <v>392.5</v>
      </c>
      <c r="N6" s="253"/>
      <c r="O6" s="253">
        <f t="shared" si="0"/>
        <v>0</v>
      </c>
      <c r="P6" s="429"/>
      <c r="Q6" s="248"/>
      <c r="R6" s="249"/>
    </row>
    <row r="7" spans="1:18" ht="13.2">
      <c r="A7" s="426" t="s">
        <v>295</v>
      </c>
      <c r="B7" s="493" t="s">
        <v>265</v>
      </c>
      <c r="C7" s="493" t="s">
        <v>288</v>
      </c>
      <c r="D7" s="493" t="s">
        <v>276</v>
      </c>
      <c r="E7" s="494">
        <v>869.75</v>
      </c>
      <c r="F7" s="244">
        <v>869.75</v>
      </c>
      <c r="G7" s="245"/>
      <c r="H7" s="494"/>
      <c r="I7" s="364"/>
      <c r="J7" s="364"/>
      <c r="K7" s="252"/>
      <c r="L7" s="494">
        <v>869.75</v>
      </c>
      <c r="M7" s="253">
        <v>869.75</v>
      </c>
      <c r="N7" s="253"/>
      <c r="O7" s="253">
        <f t="shared" si="0"/>
        <v>0</v>
      </c>
      <c r="P7" s="429"/>
      <c r="Q7" s="248"/>
      <c r="R7" s="249"/>
    </row>
    <row r="8" spans="1:18" ht="13.2">
      <c r="A8" s="426" t="s">
        <v>295</v>
      </c>
      <c r="B8" s="493" t="s">
        <v>265</v>
      </c>
      <c r="C8" s="493" t="s">
        <v>289</v>
      </c>
      <c r="D8" s="493" t="s">
        <v>277</v>
      </c>
      <c r="E8" s="494">
        <v>3952.5</v>
      </c>
      <c r="F8" s="244">
        <v>3952.5</v>
      </c>
      <c r="G8" s="245"/>
      <c r="H8" s="494"/>
      <c r="I8" s="364"/>
      <c r="J8" s="364"/>
      <c r="K8" s="252"/>
      <c r="L8" s="494">
        <v>3952.5</v>
      </c>
      <c r="M8" s="253">
        <v>3952.5</v>
      </c>
      <c r="N8" s="253"/>
      <c r="O8" s="253">
        <f t="shared" si="0"/>
        <v>0</v>
      </c>
      <c r="P8" s="429"/>
      <c r="Q8" s="248"/>
      <c r="R8" s="249"/>
    </row>
    <row r="9" spans="1:18" ht="13.2">
      <c r="A9" s="426" t="s">
        <v>295</v>
      </c>
      <c r="B9" s="493" t="s">
        <v>265</v>
      </c>
      <c r="C9" s="493" t="s">
        <v>290</v>
      </c>
      <c r="D9" s="493" t="s">
        <v>278</v>
      </c>
      <c r="E9" s="494">
        <v>460</v>
      </c>
      <c r="F9" s="244">
        <v>460</v>
      </c>
      <c r="G9" s="245"/>
      <c r="H9" s="494"/>
      <c r="I9" s="364"/>
      <c r="J9" s="364"/>
      <c r="K9" s="252"/>
      <c r="L9" s="494">
        <v>460</v>
      </c>
      <c r="M9" s="253">
        <v>460</v>
      </c>
      <c r="N9" s="253"/>
      <c r="O9" s="253">
        <f t="shared" si="0"/>
        <v>0</v>
      </c>
      <c r="P9" s="429"/>
      <c r="Q9" s="248"/>
      <c r="R9" s="249"/>
    </row>
    <row r="10" spans="1:18" ht="13.2">
      <c r="A10" s="426" t="s">
        <v>295</v>
      </c>
      <c r="B10" s="493" t="s">
        <v>265</v>
      </c>
      <c r="C10" s="493" t="s">
        <v>291</v>
      </c>
      <c r="D10" s="493" t="s">
        <v>279</v>
      </c>
      <c r="E10" s="494">
        <v>1306.5</v>
      </c>
      <c r="F10" s="244">
        <v>1306.5</v>
      </c>
      <c r="G10" s="245"/>
      <c r="H10" s="246"/>
      <c r="I10" s="364"/>
      <c r="J10" s="364"/>
      <c r="K10" s="252"/>
      <c r="L10" s="494">
        <v>1306.5</v>
      </c>
      <c r="M10" s="253">
        <v>1306.5</v>
      </c>
      <c r="N10" s="253"/>
      <c r="O10" s="253">
        <f t="shared" si="0"/>
        <v>0</v>
      </c>
      <c r="P10" s="429"/>
      <c r="Q10" s="248"/>
      <c r="R10" s="249"/>
    </row>
    <row r="11" spans="1:18" ht="13.2">
      <c r="A11" s="426" t="s">
        <v>295</v>
      </c>
      <c r="B11" s="493" t="s">
        <v>265</v>
      </c>
      <c r="C11" s="493" t="s">
        <v>292</v>
      </c>
      <c r="D11" s="493" t="s">
        <v>280</v>
      </c>
      <c r="E11" s="494">
        <v>905</v>
      </c>
      <c r="F11" s="244">
        <v>905</v>
      </c>
      <c r="G11" s="245"/>
      <c r="H11" s="246"/>
      <c r="I11" s="364"/>
      <c r="J11" s="364"/>
      <c r="K11" s="252"/>
      <c r="L11" s="494">
        <v>905</v>
      </c>
      <c r="M11" s="253">
        <v>905</v>
      </c>
      <c r="N11" s="253"/>
      <c r="O11" s="253">
        <f t="shared" si="0"/>
        <v>0</v>
      </c>
      <c r="P11" s="429"/>
      <c r="Q11" s="248"/>
      <c r="R11" s="249"/>
    </row>
    <row r="12" spans="1:18" ht="13.2">
      <c r="A12" s="426" t="s">
        <v>295</v>
      </c>
      <c r="B12" s="493" t="s">
        <v>265</v>
      </c>
      <c r="C12" s="493" t="s">
        <v>293</v>
      </c>
      <c r="D12" s="493" t="s">
        <v>281</v>
      </c>
      <c r="E12" s="494">
        <v>856</v>
      </c>
      <c r="F12" s="244">
        <v>856</v>
      </c>
      <c r="G12" s="245"/>
      <c r="H12" s="246"/>
      <c r="I12" s="364"/>
      <c r="J12" s="364"/>
      <c r="K12" s="252"/>
      <c r="L12" s="494">
        <v>856</v>
      </c>
      <c r="M12" s="253">
        <v>856</v>
      </c>
      <c r="N12" s="253"/>
      <c r="O12" s="253">
        <f t="shared" si="0"/>
        <v>0</v>
      </c>
      <c r="P12" s="429"/>
      <c r="Q12" s="248"/>
      <c r="R12" s="249"/>
    </row>
    <row r="13" spans="1:18" ht="13.2">
      <c r="A13" s="426" t="s">
        <v>295</v>
      </c>
      <c r="B13" s="493" t="s">
        <v>265</v>
      </c>
      <c r="C13" s="493" t="s">
        <v>294</v>
      </c>
      <c r="D13" s="493" t="s">
        <v>282</v>
      </c>
      <c r="E13" s="494">
        <v>270</v>
      </c>
      <c r="F13" s="244">
        <v>270</v>
      </c>
      <c r="G13" s="245"/>
      <c r="H13" s="246"/>
      <c r="I13" s="364"/>
      <c r="J13" s="364"/>
      <c r="K13" s="252"/>
      <c r="L13" s="494">
        <v>270</v>
      </c>
      <c r="M13" s="253">
        <v>270</v>
      </c>
      <c r="N13" s="253"/>
      <c r="O13" s="253">
        <f t="shared" si="0"/>
        <v>0</v>
      </c>
      <c r="P13" s="429"/>
      <c r="Q13" s="248"/>
      <c r="R13" s="249"/>
    </row>
    <row r="14" spans="1:18">
      <c r="A14" s="426"/>
      <c r="B14" s="321"/>
      <c r="C14" s="250"/>
      <c r="D14" s="251"/>
      <c r="E14" s="244"/>
      <c r="F14" s="244"/>
      <c r="G14" s="245"/>
      <c r="H14" s="246"/>
      <c r="I14" s="364"/>
      <c r="J14" s="364"/>
      <c r="K14" s="252"/>
      <c r="L14" s="427"/>
      <c r="M14" s="274"/>
      <c r="N14" s="253"/>
      <c r="O14" s="253">
        <f t="shared" si="0"/>
        <v>0</v>
      </c>
      <c r="P14" s="429"/>
      <c r="Q14" s="248"/>
      <c r="R14" s="249"/>
    </row>
    <row r="15" spans="1:18">
      <c r="A15" s="426"/>
      <c r="B15" s="321"/>
      <c r="C15" s="426"/>
      <c r="D15" s="426"/>
      <c r="E15" s="244"/>
      <c r="F15" s="244"/>
      <c r="G15" s="245"/>
      <c r="H15" s="246"/>
      <c r="I15" s="364"/>
      <c r="J15" s="364"/>
      <c r="K15" s="252"/>
      <c r="L15" s="427"/>
      <c r="M15" s="274"/>
      <c r="N15" s="253"/>
      <c r="O15" s="253">
        <f t="shared" si="0"/>
        <v>0</v>
      </c>
      <c r="P15" s="429"/>
      <c r="Q15" s="248"/>
      <c r="R15" s="249"/>
    </row>
    <row r="16" spans="1:18">
      <c r="A16" s="426"/>
      <c r="B16" s="321"/>
      <c r="C16" s="426"/>
      <c r="D16" s="426"/>
      <c r="E16" s="244"/>
      <c r="F16" s="244"/>
      <c r="G16" s="245"/>
      <c r="H16" s="246"/>
      <c r="I16" s="364"/>
      <c r="J16" s="364"/>
      <c r="K16" s="252"/>
      <c r="L16" s="427"/>
      <c r="M16" s="274"/>
      <c r="N16" s="253"/>
      <c r="O16" s="253">
        <f t="shared" si="0"/>
        <v>0</v>
      </c>
      <c r="P16" s="429"/>
      <c r="Q16" s="248"/>
      <c r="R16" s="249"/>
    </row>
    <row r="17" spans="1:18">
      <c r="A17" s="426"/>
      <c r="B17" s="321"/>
      <c r="C17" s="426"/>
      <c r="D17" s="426"/>
      <c r="E17" s="244"/>
      <c r="F17" s="244"/>
      <c r="G17" s="245"/>
      <c r="H17" s="246"/>
      <c r="I17" s="364"/>
      <c r="J17" s="364"/>
      <c r="K17" s="252"/>
      <c r="L17" s="427"/>
      <c r="M17" s="274"/>
      <c r="N17" s="253"/>
      <c r="O17" s="253">
        <f t="shared" si="0"/>
        <v>0</v>
      </c>
      <c r="P17" s="429"/>
      <c r="Q17" s="248"/>
      <c r="R17" s="249"/>
    </row>
    <row r="18" spans="1:18">
      <c r="A18" s="426"/>
      <c r="B18" s="321"/>
      <c r="C18" s="426"/>
      <c r="D18" s="426"/>
      <c r="E18" s="244"/>
      <c r="F18" s="244"/>
      <c r="G18" s="245"/>
      <c r="H18" s="246"/>
      <c r="I18" s="364"/>
      <c r="J18" s="364"/>
      <c r="K18" s="252"/>
      <c r="L18" s="427"/>
      <c r="M18" s="274"/>
      <c r="N18" s="253"/>
      <c r="O18" s="253">
        <f t="shared" si="0"/>
        <v>0</v>
      </c>
      <c r="P18" s="429"/>
      <c r="Q18" s="248"/>
      <c r="R18" s="249"/>
    </row>
    <row r="19" spans="1:18">
      <c r="A19" s="426"/>
      <c r="B19" s="321"/>
      <c r="C19" s="426"/>
      <c r="D19" s="426"/>
      <c r="E19" s="244"/>
      <c r="F19" s="244"/>
      <c r="G19" s="245"/>
      <c r="H19" s="246"/>
      <c r="I19" s="364"/>
      <c r="J19" s="364"/>
      <c r="K19" s="252"/>
      <c r="L19" s="427"/>
      <c r="M19" s="274"/>
      <c r="N19" s="253"/>
      <c r="O19" s="253">
        <f t="shared" si="0"/>
        <v>0</v>
      </c>
      <c r="P19" s="429"/>
      <c r="Q19" s="248"/>
      <c r="R19" s="249"/>
    </row>
    <row r="20" spans="1:18">
      <c r="A20" s="426"/>
      <c r="B20" s="321"/>
      <c r="C20" s="426"/>
      <c r="D20" s="426"/>
      <c r="E20" s="244"/>
      <c r="F20" s="244"/>
      <c r="G20" s="245"/>
      <c r="H20" s="246"/>
      <c r="I20" s="364"/>
      <c r="J20" s="364"/>
      <c r="K20" s="252"/>
      <c r="L20" s="427"/>
      <c r="M20" s="274"/>
      <c r="N20" s="253"/>
      <c r="O20" s="253">
        <f t="shared" si="0"/>
        <v>0</v>
      </c>
      <c r="P20" s="429"/>
      <c r="Q20" s="248"/>
      <c r="R20" s="249"/>
    </row>
    <row r="21" spans="1:18">
      <c r="A21" s="426"/>
      <c r="B21" s="321"/>
      <c r="C21" s="426"/>
      <c r="D21" s="426"/>
      <c r="E21" s="244"/>
      <c r="F21" s="244"/>
      <c r="G21" s="245"/>
      <c r="H21" s="246"/>
      <c r="I21" s="364"/>
      <c r="J21" s="364"/>
      <c r="K21" s="252"/>
      <c r="L21" s="427"/>
      <c r="M21" s="274"/>
      <c r="N21" s="253"/>
      <c r="O21" s="253">
        <f t="shared" si="0"/>
        <v>0</v>
      </c>
      <c r="P21" s="429"/>
      <c r="Q21" s="248"/>
      <c r="R21" s="249"/>
    </row>
    <row r="22" spans="1:18">
      <c r="A22" s="426"/>
      <c r="B22" s="321"/>
      <c r="C22" s="250"/>
      <c r="D22" s="251"/>
      <c r="E22" s="244"/>
      <c r="F22" s="244"/>
      <c r="G22" s="245"/>
      <c r="H22" s="246"/>
      <c r="I22" s="364"/>
      <c r="J22" s="364"/>
      <c r="K22" s="252"/>
      <c r="L22" s="427"/>
      <c r="M22" s="274"/>
      <c r="N22" s="253"/>
      <c r="O22" s="253">
        <f t="shared" si="0"/>
        <v>0</v>
      </c>
      <c r="P22" s="429"/>
      <c r="Q22" s="248"/>
      <c r="R22" s="249"/>
    </row>
    <row r="23" spans="1:18">
      <c r="A23" s="426"/>
      <c r="B23" s="321"/>
      <c r="C23" s="426"/>
      <c r="D23" s="426"/>
      <c r="E23" s="244"/>
      <c r="F23" s="244"/>
      <c r="G23" s="245"/>
      <c r="H23" s="246"/>
      <c r="I23" s="364"/>
      <c r="J23" s="364"/>
      <c r="K23" s="252"/>
      <c r="L23" s="427"/>
      <c r="M23" s="274"/>
      <c r="N23" s="253"/>
      <c r="O23" s="253">
        <f t="shared" si="0"/>
        <v>0</v>
      </c>
      <c r="P23" s="429"/>
      <c r="Q23" s="248"/>
      <c r="R23" s="249"/>
    </row>
    <row r="24" spans="1:18">
      <c r="A24" s="426"/>
      <c r="B24" s="321"/>
      <c r="C24" s="426"/>
      <c r="D24" s="426"/>
      <c r="E24" s="244"/>
      <c r="F24" s="244"/>
      <c r="G24" s="245"/>
      <c r="H24" s="246"/>
      <c r="I24" s="364"/>
      <c r="J24" s="364"/>
      <c r="K24" s="252"/>
      <c r="L24" s="427"/>
      <c r="M24" s="274"/>
      <c r="N24" s="253"/>
      <c r="O24" s="253">
        <f t="shared" si="0"/>
        <v>0</v>
      </c>
      <c r="P24" s="429"/>
      <c r="Q24" s="248"/>
      <c r="R24" s="249"/>
    </row>
    <row r="25" spans="1:18">
      <c r="A25" s="426"/>
      <c r="B25" s="321"/>
      <c r="C25" s="426"/>
      <c r="D25" s="426"/>
      <c r="E25" s="244"/>
      <c r="F25" s="244"/>
      <c r="G25" s="245"/>
      <c r="H25" s="246"/>
      <c r="I25" s="364"/>
      <c r="J25" s="364"/>
      <c r="K25" s="252"/>
      <c r="L25" s="427"/>
      <c r="M25" s="274"/>
      <c r="N25" s="253"/>
      <c r="O25" s="253">
        <f t="shared" si="0"/>
        <v>0</v>
      </c>
      <c r="P25" s="429"/>
      <c r="Q25" s="248"/>
      <c r="R25" s="249"/>
    </row>
    <row r="26" spans="1:18">
      <c r="A26" s="426"/>
      <c r="B26" s="321"/>
      <c r="C26" s="426"/>
      <c r="D26" s="426"/>
      <c r="E26" s="244"/>
      <c r="F26" s="244"/>
      <c r="G26" s="245"/>
      <c r="H26" s="246"/>
      <c r="I26" s="364"/>
      <c r="J26" s="364"/>
      <c r="K26" s="252"/>
      <c r="L26" s="427"/>
      <c r="M26" s="274"/>
      <c r="N26" s="253"/>
      <c r="O26" s="253">
        <f t="shared" si="0"/>
        <v>0</v>
      </c>
      <c r="P26" s="429"/>
      <c r="Q26" s="248"/>
      <c r="R26" s="249"/>
    </row>
    <row r="27" spans="1:18">
      <c r="A27" s="426"/>
      <c r="B27" s="321"/>
      <c r="C27" s="426"/>
      <c r="D27" s="426"/>
      <c r="E27" s="244"/>
      <c r="F27" s="244"/>
      <c r="G27" s="245"/>
      <c r="H27" s="246"/>
      <c r="I27" s="364"/>
      <c r="J27" s="364"/>
      <c r="K27" s="252"/>
      <c r="L27" s="427"/>
      <c r="M27" s="274"/>
      <c r="N27" s="253"/>
      <c r="O27" s="253">
        <f t="shared" si="0"/>
        <v>0</v>
      </c>
      <c r="P27" s="429"/>
      <c r="Q27" s="248"/>
      <c r="R27" s="249"/>
    </row>
    <row r="28" spans="1:18">
      <c r="A28" s="426"/>
      <c r="B28" s="321"/>
      <c r="C28" s="426"/>
      <c r="D28" s="426"/>
      <c r="E28" s="244"/>
      <c r="F28" s="244"/>
      <c r="G28" s="245"/>
      <c r="H28" s="246"/>
      <c r="I28" s="364"/>
      <c r="J28" s="364"/>
      <c r="K28" s="252"/>
      <c r="L28" s="427"/>
      <c r="M28" s="274"/>
      <c r="N28" s="253"/>
      <c r="O28" s="253">
        <f t="shared" si="0"/>
        <v>0</v>
      </c>
      <c r="P28" s="429"/>
      <c r="Q28" s="248"/>
      <c r="R28" s="249"/>
    </row>
    <row r="29" spans="1:18">
      <c r="A29" s="426"/>
      <c r="B29" s="321"/>
      <c r="C29" s="426"/>
      <c r="D29" s="426"/>
      <c r="E29" s="244"/>
      <c r="F29" s="244"/>
      <c r="G29" s="245"/>
      <c r="H29" s="246"/>
      <c r="I29" s="364"/>
      <c r="J29" s="364"/>
      <c r="K29" s="252"/>
      <c r="L29" s="427"/>
      <c r="M29" s="274"/>
      <c r="N29" s="253"/>
      <c r="O29" s="253">
        <f t="shared" si="0"/>
        <v>0</v>
      </c>
      <c r="P29" s="429"/>
      <c r="Q29" s="248"/>
      <c r="R29" s="249"/>
    </row>
    <row r="30" spans="1:18">
      <c r="A30" s="426"/>
      <c r="B30" s="321"/>
      <c r="C30" s="426"/>
      <c r="D30" s="426"/>
      <c r="E30" s="244"/>
      <c r="F30" s="244"/>
      <c r="G30" s="245"/>
      <c r="H30" s="246"/>
      <c r="I30" s="364"/>
      <c r="J30" s="364"/>
      <c r="K30" s="252"/>
      <c r="L30" s="427"/>
      <c r="M30" s="274"/>
      <c r="N30" s="253"/>
      <c r="O30" s="253">
        <f t="shared" si="0"/>
        <v>0</v>
      </c>
      <c r="P30" s="429"/>
      <c r="Q30" s="248"/>
      <c r="R30" s="249"/>
    </row>
    <row r="31" spans="1:18">
      <c r="A31" s="426"/>
      <c r="B31" s="321"/>
      <c r="C31" s="426"/>
      <c r="D31" s="426"/>
      <c r="E31" s="244"/>
      <c r="F31" s="244"/>
      <c r="G31" s="245"/>
      <c r="H31" s="246"/>
      <c r="I31" s="364"/>
      <c r="J31" s="364"/>
      <c r="K31" s="252"/>
      <c r="L31" s="427"/>
      <c r="M31" s="274"/>
      <c r="N31" s="253"/>
      <c r="O31" s="253">
        <f t="shared" si="0"/>
        <v>0</v>
      </c>
      <c r="P31" s="429"/>
      <c r="Q31" s="248"/>
      <c r="R31" s="249"/>
    </row>
    <row r="32" spans="1:18">
      <c r="A32" s="426"/>
      <c r="B32" s="321"/>
      <c r="C32" s="426"/>
      <c r="D32" s="426"/>
      <c r="E32" s="244"/>
      <c r="F32" s="244"/>
      <c r="G32" s="245"/>
      <c r="H32" s="246"/>
      <c r="I32" s="364"/>
      <c r="J32" s="364"/>
      <c r="K32" s="252"/>
      <c r="L32" s="427"/>
      <c r="M32" s="274"/>
      <c r="N32" s="253"/>
      <c r="O32" s="253">
        <f t="shared" si="0"/>
        <v>0</v>
      </c>
      <c r="P32" s="429"/>
      <c r="Q32" s="248"/>
      <c r="R32" s="249"/>
    </row>
    <row r="33" spans="1:18">
      <c r="A33" s="426"/>
      <c r="B33" s="321"/>
      <c r="C33" s="426"/>
      <c r="D33" s="426"/>
      <c r="E33" s="244"/>
      <c r="F33" s="244"/>
      <c r="G33" s="245"/>
      <c r="H33" s="246"/>
      <c r="I33" s="364"/>
      <c r="J33" s="364"/>
      <c r="K33" s="252"/>
      <c r="L33" s="427"/>
      <c r="M33" s="274"/>
      <c r="N33" s="253"/>
      <c r="O33" s="253">
        <f t="shared" si="0"/>
        <v>0</v>
      </c>
      <c r="P33" s="429"/>
      <c r="Q33" s="248"/>
      <c r="R33" s="249"/>
    </row>
    <row r="34" spans="1:18">
      <c r="A34" s="426"/>
      <c r="B34" s="321"/>
      <c r="C34" s="426"/>
      <c r="D34" s="426"/>
      <c r="E34" s="244"/>
      <c r="F34" s="244"/>
      <c r="G34" s="245"/>
      <c r="H34" s="246"/>
      <c r="I34" s="364"/>
      <c r="J34" s="364"/>
      <c r="K34" s="252"/>
      <c r="L34" s="427"/>
      <c r="M34" s="274"/>
      <c r="N34" s="253"/>
      <c r="O34" s="253">
        <f t="shared" si="0"/>
        <v>0</v>
      </c>
      <c r="P34" s="429"/>
      <c r="Q34" s="248"/>
      <c r="R34" s="249"/>
    </row>
    <row r="35" spans="1:18">
      <c r="A35" s="426"/>
      <c r="B35" s="321"/>
      <c r="C35" s="426"/>
      <c r="D35" s="426"/>
      <c r="E35" s="244"/>
      <c r="F35" s="244"/>
      <c r="G35" s="245"/>
      <c r="H35" s="246"/>
      <c r="I35" s="364"/>
      <c r="J35" s="364"/>
      <c r="K35" s="252"/>
      <c r="L35" s="427"/>
      <c r="M35" s="274"/>
      <c r="N35" s="253"/>
      <c r="O35" s="253">
        <f t="shared" si="0"/>
        <v>0</v>
      </c>
      <c r="P35" s="429"/>
      <c r="Q35" s="248"/>
      <c r="R35" s="249"/>
    </row>
    <row r="36" spans="1:18">
      <c r="A36" s="426"/>
      <c r="B36" s="321"/>
      <c r="C36" s="426"/>
      <c r="D36" s="426"/>
      <c r="E36" s="244"/>
      <c r="F36" s="244"/>
      <c r="G36" s="245"/>
      <c r="H36" s="246"/>
      <c r="I36" s="364"/>
      <c r="J36" s="364"/>
      <c r="K36" s="252"/>
      <c r="L36" s="427"/>
      <c r="M36" s="274"/>
      <c r="N36" s="253"/>
      <c r="O36" s="253">
        <f t="shared" si="0"/>
        <v>0</v>
      </c>
      <c r="P36" s="429"/>
      <c r="Q36" s="248"/>
      <c r="R36" s="249"/>
    </row>
    <row r="37" spans="1:18">
      <c r="A37" s="426"/>
      <c r="B37" s="321"/>
      <c r="C37" s="426"/>
      <c r="D37" s="426"/>
      <c r="E37" s="244"/>
      <c r="F37" s="244"/>
      <c r="G37" s="245"/>
      <c r="H37" s="246"/>
      <c r="I37" s="364"/>
      <c r="J37" s="364"/>
      <c r="K37" s="252"/>
      <c r="L37" s="427"/>
      <c r="M37" s="274"/>
      <c r="N37" s="253"/>
      <c r="O37" s="253">
        <f t="shared" si="0"/>
        <v>0</v>
      </c>
      <c r="P37" s="429"/>
      <c r="Q37" s="248"/>
      <c r="R37" s="249"/>
    </row>
    <row r="38" spans="1:18">
      <c r="A38" s="426"/>
      <c r="B38" s="321"/>
      <c r="C38" s="426"/>
      <c r="D38" s="426"/>
      <c r="E38" s="244"/>
      <c r="F38" s="244"/>
      <c r="G38" s="245"/>
      <c r="H38" s="246"/>
      <c r="I38" s="364"/>
      <c r="J38" s="364"/>
      <c r="K38" s="252"/>
      <c r="L38" s="427"/>
      <c r="M38" s="274"/>
      <c r="N38" s="253"/>
      <c r="O38" s="253">
        <f t="shared" si="0"/>
        <v>0</v>
      </c>
      <c r="P38" s="429"/>
      <c r="Q38" s="248"/>
      <c r="R38" s="249"/>
    </row>
    <row r="39" spans="1:18">
      <c r="A39" s="426"/>
      <c r="B39" s="321"/>
      <c r="C39" s="426"/>
      <c r="D39" s="426"/>
      <c r="E39" s="244"/>
      <c r="F39" s="244"/>
      <c r="G39" s="245"/>
      <c r="H39" s="246"/>
      <c r="I39" s="364"/>
      <c r="J39" s="364"/>
      <c r="K39" s="252"/>
      <c r="L39" s="427"/>
      <c r="M39" s="274"/>
      <c r="N39" s="253"/>
      <c r="O39" s="253">
        <f t="shared" si="0"/>
        <v>0</v>
      </c>
      <c r="P39" s="429"/>
      <c r="Q39" s="248"/>
      <c r="R39" s="249"/>
    </row>
    <row r="40" spans="1:18">
      <c r="A40" s="426"/>
      <c r="B40" s="321"/>
      <c r="C40" s="426"/>
      <c r="D40" s="426"/>
      <c r="E40" s="244"/>
      <c r="F40" s="244"/>
      <c r="G40" s="245"/>
      <c r="H40" s="246"/>
      <c r="I40" s="364"/>
      <c r="J40" s="364"/>
      <c r="K40" s="252"/>
      <c r="L40" s="427"/>
      <c r="M40" s="274"/>
      <c r="N40" s="253"/>
      <c r="O40" s="253">
        <f t="shared" si="0"/>
        <v>0</v>
      </c>
      <c r="P40" s="429"/>
      <c r="Q40" s="248"/>
      <c r="R40" s="249"/>
    </row>
    <row r="41" spans="1:18">
      <c r="A41" s="426"/>
      <c r="B41" s="321"/>
      <c r="C41" s="426"/>
      <c r="D41" s="426"/>
      <c r="E41" s="244"/>
      <c r="F41" s="244"/>
      <c r="G41" s="245"/>
      <c r="H41" s="246"/>
      <c r="I41" s="364"/>
      <c r="J41" s="364"/>
      <c r="K41" s="252"/>
      <c r="L41" s="427"/>
      <c r="M41" s="274"/>
      <c r="N41" s="253"/>
      <c r="O41" s="253">
        <f t="shared" si="0"/>
        <v>0</v>
      </c>
      <c r="P41" s="429"/>
      <c r="Q41" s="248"/>
      <c r="R41" s="249"/>
    </row>
    <row r="42" spans="1:18">
      <c r="A42" s="321"/>
      <c r="B42" s="321"/>
      <c r="C42" s="250"/>
      <c r="D42" s="251"/>
      <c r="E42" s="244"/>
      <c r="F42" s="244"/>
      <c r="G42" s="245"/>
      <c r="H42" s="246"/>
      <c r="I42" s="243"/>
      <c r="J42" s="324"/>
      <c r="K42" s="252"/>
      <c r="L42" s="392"/>
      <c r="M42" s="274"/>
      <c r="N42" s="253"/>
      <c r="O42" s="253">
        <f>M42-L42</f>
        <v>0</v>
      </c>
      <c r="P42" s="429"/>
      <c r="Q42" s="248"/>
      <c r="R42" s="249"/>
    </row>
    <row r="43" spans="1:18">
      <c r="A43" s="321"/>
      <c r="B43" s="321"/>
      <c r="C43" s="250"/>
      <c r="D43" s="251"/>
      <c r="E43" s="244"/>
      <c r="F43" s="244"/>
      <c r="G43" s="245"/>
      <c r="H43" s="246"/>
      <c r="I43" s="243"/>
      <c r="J43" s="324"/>
      <c r="K43" s="252"/>
      <c r="L43" s="392"/>
      <c r="M43" s="274"/>
      <c r="N43" s="253"/>
      <c r="O43" s="253">
        <f>M43-L43</f>
        <v>0</v>
      </c>
      <c r="P43" s="429"/>
      <c r="Q43" s="248"/>
      <c r="R43" s="249"/>
    </row>
    <row r="44" spans="1:18">
      <c r="A44" s="321"/>
      <c r="B44" s="321"/>
      <c r="C44" s="250"/>
      <c r="D44" s="251"/>
      <c r="E44" s="244"/>
      <c r="F44" s="244"/>
      <c r="G44" s="245"/>
      <c r="H44" s="246"/>
      <c r="I44" s="243"/>
      <c r="J44" s="324"/>
      <c r="K44" s="341"/>
      <c r="L44" s="392"/>
      <c r="M44" s="274"/>
      <c r="N44" s="253"/>
      <c r="O44" s="253">
        <f>M44-L44</f>
        <v>0</v>
      </c>
      <c r="P44" s="253"/>
      <c r="Q44" s="248"/>
      <c r="R44" s="249"/>
    </row>
    <row r="45" spans="1:18">
      <c r="A45" s="243"/>
      <c r="B45" s="321"/>
      <c r="C45" s="250"/>
      <c r="D45" s="251"/>
      <c r="E45" s="244"/>
      <c r="F45" s="244"/>
      <c r="G45" s="245"/>
      <c r="H45" s="246"/>
      <c r="I45" s="243"/>
      <c r="J45" s="324"/>
      <c r="K45" s="341"/>
      <c r="L45" s="392"/>
      <c r="M45" s="274"/>
      <c r="N45" s="253"/>
      <c r="O45" s="253">
        <f>M45-L45</f>
        <v>0</v>
      </c>
      <c r="P45" s="253"/>
      <c r="Q45" s="248"/>
      <c r="R45" s="249"/>
    </row>
    <row r="46" spans="1:18">
      <c r="A46" s="243"/>
      <c r="B46" s="321"/>
      <c r="C46" s="321"/>
      <c r="D46" s="321"/>
      <c r="E46" s="264"/>
      <c r="F46" s="265"/>
      <c r="G46" s="266"/>
      <c r="H46" s="267"/>
      <c r="I46" s="247"/>
      <c r="J46" s="252"/>
      <c r="K46" s="268"/>
      <c r="L46" s="253"/>
      <c r="M46" s="274"/>
      <c r="N46" s="253"/>
      <c r="O46" s="253"/>
      <c r="P46" s="253"/>
      <c r="Q46" s="248"/>
      <c r="R46" s="249"/>
    </row>
    <row r="47" spans="1:18" ht="12.6" thickBot="1">
      <c r="A47" s="375"/>
      <c r="B47" s="321"/>
      <c r="C47" s="321"/>
      <c r="D47" s="321"/>
      <c r="E47" s="269">
        <f>SUM(E2:E46)</f>
        <v>12797.25</v>
      </c>
      <c r="F47" s="269">
        <f>SUM(F2:F46)</f>
        <v>12797.25</v>
      </c>
      <c r="G47" s="269">
        <f>SUM(G2:G46)</f>
        <v>0</v>
      </c>
      <c r="H47" s="270">
        <f>SUM(H2:H46)</f>
        <v>0</v>
      </c>
      <c r="I47" s="270">
        <f>SUM(I34:I46)</f>
        <v>0</v>
      </c>
      <c r="J47" s="270">
        <f>SUM(J34:J46)</f>
        <v>0</v>
      </c>
      <c r="K47" s="270">
        <f>SUM(K2:K46)</f>
        <v>0</v>
      </c>
      <c r="L47" s="270">
        <f>SUM(L2:L41)</f>
        <v>12797.25</v>
      </c>
      <c r="M47" s="270">
        <f>SUM(M2:M41)</f>
        <v>12797.25</v>
      </c>
      <c r="N47" s="270">
        <f>SUM(N2:N46)</f>
        <v>0</v>
      </c>
      <c r="O47" s="270">
        <f>SUM(O2:O42)</f>
        <v>0</v>
      </c>
      <c r="P47" s="270">
        <f>SUM(P2:P46)</f>
        <v>0</v>
      </c>
      <c r="Q47" s="261"/>
    </row>
    <row r="48" spans="1:18" ht="12.6" thickTop="1">
      <c r="A48" s="376"/>
      <c r="B48" s="377"/>
      <c r="C48" s="378"/>
      <c r="D48" s="379"/>
      <c r="E48" s="271"/>
      <c r="F48" s="271"/>
      <c r="G48" s="272"/>
      <c r="H48" s="273"/>
      <c r="I48" s="273"/>
      <c r="J48" s="273"/>
      <c r="K48" s="273"/>
      <c r="L48" s="273"/>
      <c r="M48" s="273"/>
      <c r="N48" s="273"/>
      <c r="O48" s="273"/>
      <c r="P48" s="273"/>
      <c r="Q48" s="261"/>
    </row>
    <row r="49" spans="1:17">
      <c r="A49" s="376"/>
      <c r="B49" s="378"/>
      <c r="C49" s="380"/>
      <c r="D49" s="379"/>
      <c r="E49" s="271"/>
      <c r="F49" s="271"/>
      <c r="G49" s="272"/>
      <c r="H49" s="273"/>
      <c r="I49" s="273"/>
      <c r="J49" s="273"/>
      <c r="K49" s="273"/>
      <c r="L49" s="273"/>
      <c r="M49" s="273"/>
      <c r="N49" s="273"/>
      <c r="O49" s="273"/>
      <c r="P49" s="273"/>
      <c r="Q49" s="278"/>
    </row>
    <row r="50" spans="1:17">
      <c r="A50" s="261"/>
      <c r="B50" s="263"/>
      <c r="C50" s="262"/>
      <c r="E50" s="271"/>
      <c r="F50" s="271"/>
      <c r="G50" s="272"/>
      <c r="H50" s="273"/>
      <c r="I50" s="273"/>
      <c r="J50" s="273"/>
      <c r="K50" s="273"/>
      <c r="L50" s="273"/>
      <c r="M50" s="273"/>
      <c r="N50" s="273"/>
      <c r="O50" s="273"/>
      <c r="P50" s="242"/>
      <c r="Q50" s="278"/>
    </row>
    <row r="51" spans="1:17">
      <c r="A51" s="261"/>
      <c r="B51" s="261"/>
      <c r="C51" s="261"/>
      <c r="D51" s="261"/>
      <c r="E51" s="271"/>
      <c r="F51" s="271"/>
      <c r="G51" s="272"/>
      <c r="H51" s="273"/>
      <c r="I51" s="273"/>
      <c r="J51" s="273"/>
      <c r="K51" s="273"/>
      <c r="L51" s="273"/>
      <c r="M51" s="273"/>
      <c r="N51" s="273"/>
      <c r="O51" s="273"/>
      <c r="P51" s="242"/>
      <c r="Q51" s="278"/>
    </row>
    <row r="52" spans="1:17">
      <c r="A52" s="261"/>
      <c r="B52" s="261"/>
      <c r="C52" s="261"/>
      <c r="D52" s="261"/>
      <c r="E52" s="271"/>
      <c r="F52" s="271"/>
      <c r="G52" s="272"/>
      <c r="H52" s="273"/>
      <c r="I52" s="273"/>
      <c r="J52" s="273"/>
      <c r="K52" s="273"/>
      <c r="L52" s="273"/>
      <c r="M52" s="273"/>
      <c r="N52" s="273"/>
      <c r="O52" s="273"/>
      <c r="P52" s="242"/>
      <c r="Q52" s="278"/>
    </row>
    <row r="53" spans="1:17">
      <c r="A53" s="261"/>
      <c r="B53" s="261"/>
      <c r="C53" s="261"/>
      <c r="D53" s="261"/>
      <c r="E53" s="271"/>
      <c r="F53" s="271"/>
      <c r="G53" s="272"/>
      <c r="H53" s="273"/>
      <c r="I53" s="273"/>
      <c r="J53" s="273"/>
      <c r="K53" s="273"/>
      <c r="L53" s="273"/>
      <c r="M53" s="273"/>
      <c r="N53" s="273"/>
      <c r="O53" s="273"/>
      <c r="P53" s="242"/>
      <c r="Q53" s="278"/>
    </row>
    <row r="54" spans="1:17">
      <c r="A54" s="261"/>
      <c r="B54" s="261"/>
      <c r="C54" s="261"/>
      <c r="D54" s="261"/>
      <c r="E54" s="271"/>
      <c r="F54" s="271"/>
      <c r="G54" s="272"/>
      <c r="H54" s="273"/>
      <c r="I54" s="273"/>
      <c r="J54" s="273"/>
      <c r="K54" s="273"/>
      <c r="L54" s="273"/>
      <c r="M54" s="273"/>
      <c r="N54" s="273"/>
      <c r="O54" s="273"/>
      <c r="P54" s="242"/>
      <c r="Q54" s="278"/>
    </row>
    <row r="55" spans="1:17">
      <c r="A55" s="261"/>
      <c r="B55" s="261"/>
      <c r="C55" s="261"/>
      <c r="D55" s="261"/>
      <c r="E55" s="271"/>
      <c r="F55" s="271"/>
      <c r="G55" s="272"/>
      <c r="H55" s="273"/>
      <c r="I55" s="273"/>
      <c r="J55" s="273"/>
      <c r="K55" s="273"/>
      <c r="L55" s="273"/>
      <c r="M55" s="273"/>
      <c r="N55" s="273"/>
      <c r="O55" s="273"/>
      <c r="P55" s="242"/>
      <c r="Q55" s="278"/>
    </row>
    <row r="56" spans="1:17">
      <c r="B56" s="261"/>
      <c r="C56" s="261"/>
      <c r="D56" s="261"/>
      <c r="E56" s="271"/>
      <c r="F56" s="271"/>
      <c r="G56" s="272"/>
      <c r="H56" s="273"/>
      <c r="I56" s="273"/>
      <c r="J56" s="273"/>
      <c r="K56" s="273"/>
      <c r="L56" s="273"/>
      <c r="M56" s="273"/>
      <c r="N56" s="273"/>
      <c r="O56" s="273"/>
      <c r="P56" s="242"/>
      <c r="Q56" s="278"/>
    </row>
    <row r="57" spans="1:17">
      <c r="A57" s="261"/>
      <c r="B57" s="261"/>
      <c r="C57" s="261"/>
      <c r="D57" s="261"/>
      <c r="H57" s="280"/>
      <c r="I57" s="273"/>
      <c r="J57" s="280"/>
      <c r="K57" s="280"/>
      <c r="L57" s="280"/>
      <c r="M57" s="273"/>
      <c r="N57" s="273"/>
      <c r="O57" s="281"/>
      <c r="P57" s="242"/>
      <c r="Q57" s="278"/>
    </row>
    <row r="58" spans="1:17" ht="11.4">
      <c r="B58" s="261"/>
      <c r="C58" s="261"/>
      <c r="D58" s="261"/>
      <c r="H58" s="284"/>
      <c r="M58" s="284"/>
      <c r="N58" s="284"/>
      <c r="O58" s="242"/>
      <c r="P58" s="242"/>
    </row>
    <row r="59" spans="1:17">
      <c r="A59" s="279" t="s">
        <v>179</v>
      </c>
      <c r="B59" s="279"/>
      <c r="C59" s="279"/>
      <c r="D59" s="279"/>
      <c r="E59" s="242" t="s">
        <v>174</v>
      </c>
      <c r="F59" s="242" t="s">
        <v>174</v>
      </c>
      <c r="G59" s="242" t="s">
        <v>199</v>
      </c>
      <c r="H59" s="242" t="s">
        <v>174</v>
      </c>
      <c r="I59" s="242" t="s">
        <v>174</v>
      </c>
      <c r="J59" s="242" t="s">
        <v>174</v>
      </c>
      <c r="K59" s="242" t="s">
        <v>174</v>
      </c>
      <c r="L59" s="242" t="s">
        <v>199</v>
      </c>
      <c r="P59" s="242"/>
    </row>
    <row r="60" spans="1:17">
      <c r="B60" s="261"/>
      <c r="C60" s="261"/>
      <c r="D60" s="261"/>
      <c r="K60" s="277"/>
      <c r="P60" s="242"/>
    </row>
    <row r="61" spans="1:17">
      <c r="P61" s="242"/>
    </row>
    <row r="62" spans="1:17">
      <c r="B62" s="282"/>
      <c r="C62" s="283"/>
      <c r="J62" s="277"/>
    </row>
    <row r="63" spans="1:17">
      <c r="K63" s="27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sheetPr codeName="Sheet7"/>
  <dimension ref="A1:P51"/>
  <sheetViews>
    <sheetView zoomScaleNormal="100" workbookViewId="0">
      <pane xSplit="3" topLeftCell="D1" activePane="topRight" state="frozen"/>
      <selection activeCell="G22" sqref="G22"/>
      <selection pane="topRight" activeCell="I13" sqref="I13"/>
    </sheetView>
  </sheetViews>
  <sheetFormatPr defaultColWidth="8.88671875" defaultRowHeight="13.2"/>
  <cols>
    <col min="1" max="1" width="14.44140625" style="231" customWidth="1"/>
    <col min="2" max="2" width="32" style="231" customWidth="1"/>
    <col min="3" max="3" width="14" style="231" bestFit="1" customWidth="1"/>
    <col min="4" max="4" width="12.6640625" style="240" bestFit="1" customWidth="1"/>
    <col min="5" max="5" width="12.5546875" style="240" bestFit="1" customWidth="1"/>
    <col min="6" max="7" width="17.88671875" style="231" bestFit="1" customWidth="1"/>
    <col min="8" max="8" width="14.109375" style="231" bestFit="1" customWidth="1"/>
    <col min="9" max="9" width="17.6640625" style="231" customWidth="1"/>
    <col min="10" max="10" width="17.6640625" style="231" bestFit="1" customWidth="1"/>
    <col min="11" max="11" width="19.88671875" style="231" bestFit="1" customWidth="1"/>
    <col min="12" max="13" width="17.6640625" style="231" bestFit="1" customWidth="1"/>
    <col min="14" max="14" width="13.44140625" style="231" bestFit="1" customWidth="1"/>
    <col min="15" max="15" width="14.88671875" style="231" customWidth="1"/>
    <col min="16" max="16" width="7.33203125" style="231" bestFit="1" customWidth="1"/>
    <col min="17" max="16384" width="8.88671875" style="231"/>
  </cols>
  <sheetData>
    <row r="1" spans="1:16" ht="27" thickBot="1">
      <c r="A1" s="5" t="s">
        <v>65</v>
      </c>
      <c r="B1" s="5" t="s">
        <v>51</v>
      </c>
      <c r="C1" s="6" t="s">
        <v>63</v>
      </c>
      <c r="D1" s="6" t="s">
        <v>64</v>
      </c>
      <c r="E1" s="6" t="s">
        <v>143</v>
      </c>
      <c r="F1" s="319" t="s">
        <v>139</v>
      </c>
      <c r="G1" s="63" t="s">
        <v>140</v>
      </c>
      <c r="H1" s="66" t="s">
        <v>144</v>
      </c>
      <c r="I1" s="6" t="s">
        <v>141</v>
      </c>
      <c r="J1" s="56" t="s">
        <v>145</v>
      </c>
      <c r="K1" s="23" t="s">
        <v>142</v>
      </c>
      <c r="L1" s="63" t="s">
        <v>146</v>
      </c>
      <c r="M1" s="6" t="s">
        <v>137</v>
      </c>
      <c r="N1" s="63" t="s">
        <v>138</v>
      </c>
      <c r="O1" s="24" t="s">
        <v>53</v>
      </c>
      <c r="P1" s="46" t="s">
        <v>121</v>
      </c>
    </row>
    <row r="2" spans="1:16" ht="13.8">
      <c r="A2" s="387"/>
      <c r="B2" s="388"/>
      <c r="C2" s="389"/>
      <c r="D2" s="390"/>
      <c r="E2" s="388"/>
      <c r="F2" s="319"/>
      <c r="G2" s="63"/>
      <c r="H2" s="313"/>
      <c r="I2" s="391"/>
      <c r="J2" s="56"/>
      <c r="K2" s="319"/>
      <c r="L2" s="63"/>
      <c r="M2" s="6"/>
      <c r="N2" s="63"/>
      <c r="O2" s="314"/>
      <c r="P2" s="46"/>
    </row>
    <row r="3" spans="1:16" ht="13.8">
      <c r="A3" s="387"/>
      <c r="B3" s="388"/>
      <c r="C3" s="389"/>
      <c r="D3" s="390"/>
      <c r="E3" s="388"/>
      <c r="F3" s="319"/>
      <c r="G3" s="316"/>
      <c r="H3" s="317"/>
      <c r="I3" s="391"/>
      <c r="J3" s="318"/>
      <c r="K3" s="319"/>
      <c r="L3" s="316"/>
      <c r="M3" s="315"/>
      <c r="N3" s="316"/>
      <c r="O3" s="314"/>
      <c r="P3" s="46"/>
    </row>
    <row r="4" spans="1:16" ht="13.8">
      <c r="A4" s="387"/>
      <c r="B4" s="388"/>
      <c r="C4" s="389"/>
      <c r="D4" s="390"/>
      <c r="E4" s="388"/>
      <c r="F4" s="319"/>
      <c r="G4" s="316"/>
      <c r="H4" s="317"/>
      <c r="I4" s="391"/>
      <c r="J4" s="318"/>
      <c r="K4" s="319"/>
      <c r="L4" s="316"/>
      <c r="M4" s="315"/>
      <c r="N4" s="316"/>
      <c r="O4" s="314"/>
      <c r="P4" s="46"/>
    </row>
    <row r="5" spans="1:16" ht="13.8">
      <c r="A5" s="387"/>
      <c r="B5" s="388"/>
      <c r="C5" s="389"/>
      <c r="D5" s="390"/>
      <c r="E5" s="388"/>
      <c r="F5" s="319"/>
      <c r="G5" s="316"/>
      <c r="H5" s="317"/>
      <c r="I5" s="391"/>
      <c r="J5" s="318"/>
      <c r="K5" s="319"/>
      <c r="L5" s="316"/>
      <c r="M5" s="315"/>
      <c r="N5" s="316"/>
      <c r="O5" s="314"/>
      <c r="P5" s="46"/>
    </row>
    <row r="6" spans="1:16" ht="13.8">
      <c r="A6" s="387"/>
      <c r="B6" s="388"/>
      <c r="C6" s="389"/>
      <c r="D6" s="390"/>
      <c r="E6" s="388"/>
      <c r="F6" s="319"/>
      <c r="G6" s="316"/>
      <c r="H6" s="317"/>
      <c r="I6" s="391"/>
      <c r="J6" s="318"/>
      <c r="K6" s="319"/>
      <c r="L6" s="316"/>
      <c r="M6" s="315"/>
      <c r="N6" s="316"/>
      <c r="O6" s="314"/>
      <c r="P6" s="46"/>
    </row>
    <row r="7" spans="1:16" ht="13.8">
      <c r="A7" s="387"/>
      <c r="B7" s="388"/>
      <c r="C7" s="389"/>
      <c r="D7" s="390"/>
      <c r="E7" s="388"/>
      <c r="F7" s="319"/>
      <c r="G7" s="316"/>
      <c r="H7" s="317"/>
      <c r="I7" s="391"/>
      <c r="J7" s="318"/>
      <c r="K7" s="319"/>
      <c r="L7" s="316"/>
      <c r="M7" s="315"/>
      <c r="N7" s="316"/>
      <c r="O7" s="314"/>
      <c r="P7" s="46"/>
    </row>
    <row r="8" spans="1:16" ht="13.8">
      <c r="A8" s="387"/>
      <c r="B8" s="388"/>
      <c r="C8" s="389"/>
      <c r="D8" s="390"/>
      <c r="E8" s="388"/>
      <c r="F8" s="319"/>
      <c r="G8" s="316"/>
      <c r="H8" s="317"/>
      <c r="I8" s="391"/>
      <c r="J8" s="318"/>
      <c r="K8" s="319"/>
      <c r="L8" s="316"/>
      <c r="M8" s="315"/>
      <c r="N8" s="316"/>
      <c r="O8" s="314"/>
      <c r="P8" s="46"/>
    </row>
    <row r="9" spans="1:16" ht="13.8">
      <c r="A9" s="387"/>
      <c r="B9" s="388"/>
      <c r="C9" s="389"/>
      <c r="D9" s="390"/>
      <c r="E9" s="388"/>
      <c r="F9" s="319"/>
      <c r="G9" s="316"/>
      <c r="H9" s="317"/>
      <c r="I9" s="391"/>
      <c r="J9" s="318"/>
      <c r="K9" s="319"/>
      <c r="L9" s="316"/>
      <c r="M9" s="315"/>
      <c r="N9" s="316"/>
      <c r="O9" s="314"/>
      <c r="P9" s="46"/>
    </row>
    <row r="10" spans="1:16" ht="13.8">
      <c r="A10" s="387"/>
      <c r="B10" s="388"/>
      <c r="C10" s="389"/>
      <c r="D10" s="390"/>
      <c r="E10" s="388"/>
      <c r="F10" s="319"/>
      <c r="G10" s="316"/>
      <c r="H10" s="317"/>
      <c r="I10" s="391"/>
      <c r="J10" s="318"/>
      <c r="K10" s="319"/>
      <c r="L10" s="316"/>
      <c r="M10" s="315"/>
      <c r="N10" s="316"/>
      <c r="O10" s="314"/>
      <c r="P10" s="46"/>
    </row>
    <row r="11" spans="1:16" ht="13.8">
      <c r="A11" s="387"/>
      <c r="B11" s="388"/>
      <c r="C11" s="389"/>
      <c r="D11" s="390"/>
      <c r="E11" s="388"/>
      <c r="F11" s="319"/>
      <c r="G11" s="316"/>
      <c r="H11" s="317"/>
      <c r="I11" s="391"/>
      <c r="J11" s="318"/>
      <c r="K11" s="319"/>
      <c r="L11" s="316"/>
      <c r="M11" s="315"/>
      <c r="N11" s="316"/>
      <c r="O11" s="314"/>
      <c r="P11" s="46"/>
    </row>
    <row r="12" spans="1:16" ht="13.8">
      <c r="A12" s="387"/>
      <c r="B12" s="388"/>
      <c r="C12" s="389"/>
      <c r="D12" s="390"/>
      <c r="E12" s="388"/>
      <c r="F12" s="319"/>
      <c r="G12" s="316"/>
      <c r="H12" s="317"/>
      <c r="I12" s="391"/>
      <c r="J12" s="318"/>
      <c r="K12" s="319"/>
      <c r="L12" s="316"/>
      <c r="M12" s="315"/>
      <c r="N12" s="316"/>
      <c r="O12" s="314"/>
      <c r="P12" s="46"/>
    </row>
    <row r="13" spans="1:16" ht="13.8">
      <c r="A13" s="387"/>
      <c r="B13" s="388"/>
      <c r="C13" s="389"/>
      <c r="D13" s="390"/>
      <c r="E13" s="388"/>
      <c r="F13" s="319"/>
      <c r="G13" s="316"/>
      <c r="H13" s="317"/>
      <c r="I13" s="391"/>
      <c r="J13" s="318"/>
      <c r="K13" s="319"/>
      <c r="L13" s="316"/>
      <c r="M13" s="315"/>
      <c r="N13" s="316"/>
      <c r="O13" s="314"/>
      <c r="P13" s="46"/>
    </row>
    <row r="14" spans="1:16" ht="13.8">
      <c r="A14" s="387"/>
      <c r="B14" s="388"/>
      <c r="C14" s="389"/>
      <c r="D14" s="390"/>
      <c r="E14" s="388"/>
      <c r="F14" s="319"/>
      <c r="G14" s="316"/>
      <c r="H14" s="317"/>
      <c r="I14" s="391"/>
      <c r="J14" s="318"/>
      <c r="K14" s="319"/>
      <c r="L14" s="316"/>
      <c r="M14" s="315"/>
      <c r="N14" s="316"/>
      <c r="O14" s="314"/>
      <c r="P14" s="46"/>
    </row>
    <row r="15" spans="1:16" ht="13.8">
      <c r="A15" s="387"/>
      <c r="B15" s="388"/>
      <c r="C15" s="389"/>
      <c r="D15" s="390"/>
      <c r="E15" s="388"/>
      <c r="F15" s="319"/>
      <c r="G15" s="316"/>
      <c r="H15" s="317"/>
      <c r="I15" s="391"/>
      <c r="J15" s="318"/>
      <c r="K15" s="319"/>
      <c r="L15" s="316"/>
      <c r="M15" s="315"/>
      <c r="N15" s="316"/>
      <c r="O15" s="314"/>
      <c r="P15" s="46"/>
    </row>
    <row r="16" spans="1:16" ht="13.8">
      <c r="A16" s="387"/>
      <c r="B16" s="388"/>
      <c r="C16" s="389"/>
      <c r="D16" s="390"/>
      <c r="E16" s="388"/>
      <c r="F16" s="319"/>
      <c r="G16" s="316"/>
      <c r="H16" s="317"/>
      <c r="I16" s="391"/>
      <c r="J16" s="318"/>
      <c r="K16" s="319">
        <v>0</v>
      </c>
      <c r="L16" s="316"/>
      <c r="M16" s="315"/>
      <c r="N16" s="316"/>
      <c r="O16" s="314"/>
      <c r="P16" s="46"/>
    </row>
    <row r="17" spans="1:16" ht="13.8">
      <c r="A17" s="387"/>
      <c r="B17" s="388"/>
      <c r="C17" s="389"/>
      <c r="D17" s="390"/>
      <c r="E17" s="388"/>
      <c r="F17" s="319"/>
      <c r="G17" s="316"/>
      <c r="H17" s="317"/>
      <c r="I17" s="391"/>
      <c r="J17" s="318"/>
      <c r="K17" s="319"/>
      <c r="L17" s="316"/>
      <c r="M17" s="315"/>
      <c r="N17" s="316"/>
      <c r="O17" s="314"/>
      <c r="P17" s="46"/>
    </row>
    <row r="18" spans="1:16" ht="13.8">
      <c r="A18" s="387"/>
      <c r="B18" s="388"/>
      <c r="C18" s="389"/>
      <c r="D18" s="390"/>
      <c r="E18" s="388"/>
      <c r="F18" s="319"/>
      <c r="G18" s="316"/>
      <c r="H18" s="317"/>
      <c r="I18" s="391"/>
      <c r="J18" s="318"/>
      <c r="K18" s="319"/>
      <c r="L18" s="316"/>
      <c r="M18" s="315"/>
      <c r="N18" s="316"/>
      <c r="O18" s="314"/>
      <c r="P18" s="46"/>
    </row>
    <row r="19" spans="1:16" ht="13.8">
      <c r="A19" s="387"/>
      <c r="B19" s="388"/>
      <c r="C19" s="389"/>
      <c r="D19" s="390"/>
      <c r="E19" s="388"/>
      <c r="F19" s="319"/>
      <c r="G19" s="316"/>
      <c r="H19" s="317"/>
      <c r="I19" s="391"/>
      <c r="J19" s="318"/>
      <c r="K19" s="319">
        <v>0</v>
      </c>
      <c r="L19" s="316"/>
      <c r="M19" s="315"/>
      <c r="N19" s="316"/>
      <c r="O19" s="314"/>
      <c r="P19" s="46"/>
    </row>
    <row r="20" spans="1:16">
      <c r="A20" s="235"/>
      <c r="C20" s="322"/>
      <c r="D20" s="323"/>
      <c r="E20" s="231"/>
      <c r="F20" s="319"/>
      <c r="G20" s="316"/>
      <c r="H20" s="317"/>
      <c r="I20" s="320"/>
      <c r="J20" s="318"/>
      <c r="K20" s="319"/>
      <c r="L20" s="316"/>
      <c r="M20" s="315"/>
      <c r="N20" s="316"/>
      <c r="O20" s="314"/>
      <c r="P20" s="46"/>
    </row>
    <row r="21" spans="1:16">
      <c r="A21" s="235"/>
      <c r="C21" s="322"/>
      <c r="D21" s="323"/>
      <c r="E21" s="231"/>
      <c r="F21" s="319"/>
      <c r="G21" s="316"/>
      <c r="H21" s="317"/>
      <c r="I21" s="320"/>
      <c r="J21" s="318"/>
      <c r="K21" s="319">
        <v>0</v>
      </c>
      <c r="L21" s="316"/>
      <c r="M21" s="315"/>
      <c r="N21" s="316"/>
      <c r="O21" s="314"/>
      <c r="P21" s="46"/>
    </row>
    <row r="22" spans="1:16">
      <c r="A22" s="235"/>
      <c r="C22" s="385"/>
      <c r="D22" s="384"/>
      <c r="E22" s="315"/>
      <c r="F22" s="386"/>
      <c r="G22" s="63"/>
      <c r="H22" s="313"/>
      <c r="I22" s="385"/>
      <c r="J22" s="56"/>
      <c r="K22" s="46"/>
      <c r="L22" s="63"/>
      <c r="M22" s="6"/>
      <c r="N22" s="63"/>
      <c r="O22" s="314"/>
      <c r="P22" s="46"/>
    </row>
    <row r="23" spans="1:16">
      <c r="A23" s="235"/>
      <c r="C23" s="383"/>
      <c r="D23" s="382"/>
      <c r="E23" s="230"/>
      <c r="F23" s="169"/>
      <c r="G23" s="169"/>
      <c r="H23" s="169"/>
      <c r="I23" s="152"/>
      <c r="J23" s="232"/>
      <c r="K23" s="152"/>
      <c r="L23" s="170"/>
      <c r="M23" s="152"/>
      <c r="N23" s="170"/>
      <c r="O23" s="236"/>
      <c r="P23" s="5"/>
    </row>
    <row r="24" spans="1:16" ht="13.8" thickBot="1">
      <c r="A24" s="239"/>
      <c r="B24" s="67"/>
      <c r="C24" s="8"/>
      <c r="D24" s="55"/>
      <c r="E24" s="55"/>
      <c r="F24" s="65">
        <f>SUM(F2:F23)</f>
        <v>0</v>
      </c>
      <c r="G24" s="65">
        <f>SUM(G23:G23)</f>
        <v>0</v>
      </c>
      <c r="H24" s="65">
        <f>SUM(H23:H23)</f>
        <v>0</v>
      </c>
      <c r="I24" s="48">
        <f>SUM(I2:I23)</f>
        <v>0</v>
      </c>
      <c r="J24" s="57">
        <f>SUM(J23:J23)</f>
        <v>0</v>
      </c>
      <c r="K24" s="48">
        <f>SUM(K3:K23)</f>
        <v>0</v>
      </c>
      <c r="L24" s="64">
        <f>SUM(L23:L23)</f>
        <v>0</v>
      </c>
      <c r="M24" s="48">
        <f>SUM(M23:M23)</f>
        <v>0</v>
      </c>
      <c r="N24" s="64">
        <f>SUM(N23:N23)</f>
        <v>0</v>
      </c>
      <c r="O24" s="8">
        <f>SUM(O23:O23)</f>
        <v>0</v>
      </c>
      <c r="P24" s="239"/>
    </row>
    <row r="25" spans="1:16" ht="13.8" thickTop="1">
      <c r="A25" s="239"/>
      <c r="B25" s="67"/>
      <c r="C25" s="47"/>
      <c r="D25" s="153"/>
      <c r="E25" s="153"/>
      <c r="F25" s="154"/>
      <c r="G25" s="154"/>
      <c r="H25" s="154"/>
      <c r="I25" s="172"/>
      <c r="J25" s="155"/>
      <c r="K25" s="172"/>
      <c r="L25" s="156"/>
      <c r="M25" s="47"/>
      <c r="N25" s="156"/>
      <c r="O25" s="47"/>
      <c r="P25" s="239"/>
    </row>
    <row r="26" spans="1:16">
      <c r="A26" s="239"/>
      <c r="B26" s="67"/>
      <c r="C26" s="47"/>
      <c r="D26" s="153"/>
      <c r="E26" s="153"/>
      <c r="F26" s="154"/>
      <c r="G26" s="154"/>
      <c r="H26" s="154"/>
      <c r="I26" s="47"/>
      <c r="J26" s="155"/>
      <c r="K26" s="47"/>
      <c r="L26" s="156"/>
      <c r="M26" s="47"/>
      <c r="N26" s="156"/>
      <c r="O26" s="47"/>
      <c r="P26" s="239"/>
    </row>
    <row r="27" spans="1:16">
      <c r="A27" s="239"/>
      <c r="B27" s="67"/>
      <c r="C27" s="47"/>
      <c r="D27" s="153"/>
      <c r="E27" s="153"/>
      <c r="F27" s="154"/>
      <c r="G27" s="154"/>
      <c r="H27" s="154"/>
      <c r="I27" s="47"/>
      <c r="J27" s="155"/>
      <c r="K27" s="47"/>
      <c r="L27" s="156"/>
      <c r="M27" s="47"/>
      <c r="N27" s="156"/>
      <c r="O27" s="47"/>
      <c r="P27" s="239"/>
    </row>
    <row r="28" spans="1:16">
      <c r="A28" s="239"/>
      <c r="B28" s="67"/>
      <c r="C28" s="47"/>
      <c r="D28" s="153"/>
      <c r="E28" s="153"/>
      <c r="F28" s="154"/>
      <c r="G28" s="154"/>
      <c r="H28" s="154"/>
      <c r="I28" s="47"/>
      <c r="J28" s="155"/>
      <c r="K28" s="47"/>
      <c r="L28" s="156"/>
      <c r="M28" s="47"/>
      <c r="N28" s="156"/>
      <c r="O28" s="47"/>
      <c r="P28" s="239"/>
    </row>
    <row r="29" spans="1:16">
      <c r="A29" s="239"/>
      <c r="B29" s="67"/>
      <c r="C29" s="47"/>
      <c r="D29" s="153"/>
      <c r="E29" s="153"/>
      <c r="F29" s="154"/>
      <c r="G29" s="154"/>
      <c r="H29" s="154"/>
      <c r="I29" s="47"/>
      <c r="J29" s="155"/>
      <c r="K29" s="47"/>
      <c r="L29" s="156"/>
      <c r="M29" s="47"/>
      <c r="N29" s="156"/>
      <c r="O29" s="47"/>
      <c r="P29" s="239"/>
    </row>
    <row r="30" spans="1:16">
      <c r="A30" s="239"/>
      <c r="B30" s="67"/>
      <c r="C30" s="47"/>
      <c r="D30" s="153"/>
      <c r="E30" s="153"/>
      <c r="F30" s="154"/>
      <c r="G30" s="154"/>
      <c r="H30" s="154"/>
      <c r="I30" s="47"/>
      <c r="J30" s="155"/>
      <c r="K30" s="47"/>
      <c r="L30" s="156"/>
      <c r="M30" s="47"/>
      <c r="N30" s="156"/>
      <c r="O30" s="47"/>
      <c r="P30" s="239"/>
    </row>
    <row r="35" spans="1:9">
      <c r="I35" s="237"/>
    </row>
    <row r="36" spans="1:9">
      <c r="A36" s="234" t="s">
        <v>200</v>
      </c>
      <c r="B36" s="234"/>
      <c r="C36" s="234"/>
      <c r="D36" s="241"/>
    </row>
    <row r="39" spans="1:9">
      <c r="A39" s="171"/>
    </row>
    <row r="40" spans="1:9">
      <c r="A40" s="171"/>
    </row>
    <row r="41" spans="1:9">
      <c r="A41" s="171"/>
    </row>
    <row r="42" spans="1:9">
      <c r="A42" s="171"/>
    </row>
    <row r="43" spans="1:9">
      <c r="A43" s="171"/>
    </row>
    <row r="44" spans="1:9">
      <c r="A44" s="171"/>
    </row>
    <row r="45" spans="1:9">
      <c r="A45" s="171"/>
    </row>
    <row r="46" spans="1:9">
      <c r="A46" s="171"/>
    </row>
    <row r="47" spans="1:9">
      <c r="A47" s="171"/>
    </row>
    <row r="48" spans="1:9">
      <c r="A48" s="171"/>
    </row>
    <row r="49" spans="1:1">
      <c r="A49" s="171"/>
    </row>
    <row r="50" spans="1:1">
      <c r="A50" s="233"/>
    </row>
    <row r="51" spans="1:1">
      <c r="A51" s="233"/>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165</vt:i4>
      </vt:variant>
    </vt:vector>
  </HeadingPairs>
  <TitlesOfParts>
    <vt:vector size="177" baseType="lpstr">
      <vt:lpstr>IOControl</vt:lpstr>
      <vt:lpstr>APOLLO_LINKS</vt:lpstr>
      <vt:lpstr>Comparison</vt:lpstr>
      <vt:lpstr>Instructions</vt:lpstr>
      <vt:lpstr>Schedule_A</vt:lpstr>
      <vt:lpstr>Cash</vt:lpstr>
      <vt:lpstr>Share_Cost_Mkt</vt:lpstr>
      <vt:lpstr>Dividends</vt:lpstr>
      <vt:lpstr>Tax_Reclaims</vt:lpstr>
      <vt:lpstr>Interest</vt:lpstr>
      <vt:lpstr>Open_Trades</vt:lpstr>
      <vt:lpstr>Pending_FX </vt:lpstr>
      <vt:lpstr>Cash_BMV_IM</vt:lpstr>
      <vt:lpstr>Cash_BMV_SSC</vt:lpstr>
      <vt:lpstr>DIST_INSERTED_ROWS</vt:lpstr>
      <vt:lpstr>DIST_REQ_ACCOUNT</vt:lpstr>
      <vt:lpstr>DIST_REQ_DATE</vt:lpstr>
      <vt:lpstr>DIST_REQ_FILTER_CODE_1</vt:lpstr>
      <vt:lpstr>DIST_REQ_FILTER_OPERAND_1</vt:lpstr>
      <vt:lpstr>DIST_REQ_FILTER_VALUE_1</vt:lpstr>
      <vt:lpstr>DIST_REQ_SCTY_ONLY</vt:lpstr>
      <vt:lpstr>DIST2_INSERTED_ROWS</vt:lpstr>
      <vt:lpstr>DIST2_REQ_ACCOUNT</vt:lpstr>
      <vt:lpstr>DIST2_REQ_DATE</vt:lpstr>
      <vt:lpstr>DIST2_REQ_FILTER_CODE_1</vt:lpstr>
      <vt:lpstr>DIST2_REQ_FILTER_OPERAND_1</vt:lpstr>
      <vt:lpstr>DIST2_REQ_FILTER_VALUE_1</vt:lpstr>
      <vt:lpstr>DIST2_REQ_SCTY_ONLY</vt:lpstr>
      <vt:lpstr>DIST3_REQ_ACCOUNT</vt:lpstr>
      <vt:lpstr>DIST3_REQ_DATE</vt:lpstr>
      <vt:lpstr>DIST3_REQ_FILTER_CODE_1</vt:lpstr>
      <vt:lpstr>DIST3_REQ_FILTER_CODE_2</vt:lpstr>
      <vt:lpstr>DIST3_REQ_FILTER_CODE_3</vt:lpstr>
      <vt:lpstr>DIST3_REQ_FILTER_OPERAND_1</vt:lpstr>
      <vt:lpstr>DIST3_REQ_FILTER_OPERAND_2</vt:lpstr>
      <vt:lpstr>DIST3_REQ_FILTER_OPERAND_3</vt:lpstr>
      <vt:lpstr>DIST3_REQ_FILTER_VALUE_1</vt:lpstr>
      <vt:lpstr>DIST3_REQ_FILTER_VALUE_2</vt:lpstr>
      <vt:lpstr>DIST3_REQ_FILTER_VALUE_3</vt:lpstr>
      <vt:lpstr>DIST3_REQ_SCTY_ONLY</vt:lpstr>
      <vt:lpstr>DIST4_AN_COL</vt:lpstr>
      <vt:lpstr>DIST4_DETAIL_ROW</vt:lpstr>
      <vt:lpstr>DIST4_GB_COL</vt:lpstr>
      <vt:lpstr>DIST4_REQ_ACCOUNT</vt:lpstr>
      <vt:lpstr>DIST4_REQ_DATE</vt:lpstr>
      <vt:lpstr>DIST4_REQ_FILTER_CODE_1</vt:lpstr>
      <vt:lpstr>DIST4_REQ_FILTER_CODE_2</vt:lpstr>
      <vt:lpstr>DIST4_REQ_FILTER_CODE_3</vt:lpstr>
      <vt:lpstr>DIST4_REQ_FILTER_OPERAND_1</vt:lpstr>
      <vt:lpstr>DIST4_REQ_FILTER_OPERAND_2</vt:lpstr>
      <vt:lpstr>DIST4_REQ_FILTER_OPERAND_3</vt:lpstr>
      <vt:lpstr>DIST4_REQ_FILTER_VALUE_1</vt:lpstr>
      <vt:lpstr>DIST4_REQ_FILTER_VALUE_2</vt:lpstr>
      <vt:lpstr>DIST4_REQ_FILTER_VALUE_3</vt:lpstr>
      <vt:lpstr>DIST4_REQ_SCTY_ONLY</vt:lpstr>
      <vt:lpstr>DIST4_SD_COL</vt:lpstr>
      <vt:lpstr>DIST4_SN_COL</vt:lpstr>
      <vt:lpstr>DIST5_REQ_ACCOUNT</vt:lpstr>
      <vt:lpstr>DIST5_REQ_DATE</vt:lpstr>
      <vt:lpstr>DIST5_REQ_FILTER_CODE_1</vt:lpstr>
      <vt:lpstr>DIST5_REQ_FILTER_OPERAND_1</vt:lpstr>
      <vt:lpstr>DIST5_REQ_FILTER_VALUE_1</vt:lpstr>
      <vt:lpstr>DIST5_REQ_SCTY_ONLY</vt:lpstr>
      <vt:lpstr>INT_BNI_IM</vt:lpstr>
      <vt:lpstr>INT_BNI_SSC</vt:lpstr>
      <vt:lpstr>IO_DATA</vt:lpstr>
      <vt:lpstr>IO_DATA10</vt:lpstr>
      <vt:lpstr>IO_DATA2</vt:lpstr>
      <vt:lpstr>IO_DATA3</vt:lpstr>
      <vt:lpstr>IO_DATA4</vt:lpstr>
      <vt:lpstr>IO_DATA5</vt:lpstr>
      <vt:lpstr>IO_DATA6</vt:lpstr>
      <vt:lpstr>IO_DATA7</vt:lpstr>
      <vt:lpstr>IO_DATA8</vt:lpstr>
      <vt:lpstr>IO_DATA9</vt:lpstr>
      <vt:lpstr>IO_REPORT_TYPE</vt:lpstr>
      <vt:lpstr>IO_REPORT_TYPE10</vt:lpstr>
      <vt:lpstr>IO_REPORT_TYPE2</vt:lpstr>
      <vt:lpstr>IO_REPORT_TYPE3</vt:lpstr>
      <vt:lpstr>IO_REPORT_TYPE4</vt:lpstr>
      <vt:lpstr>IO_REPORT_TYPE5</vt:lpstr>
      <vt:lpstr>IO_REPORT_TYPE6</vt:lpstr>
      <vt:lpstr>IO_REPORT_TYPE7</vt:lpstr>
      <vt:lpstr>IO_REPORT_TYPE8</vt:lpstr>
      <vt:lpstr>IO_REPORT_TYPE9</vt:lpstr>
      <vt:lpstr>OSI_BNP_IM</vt:lpstr>
      <vt:lpstr>OTS_BNP_IM</vt:lpstr>
      <vt:lpstr>OTS_BNP_SSC</vt:lpstr>
      <vt:lpstr>PARM_Account</vt:lpstr>
      <vt:lpstr>PARM_From_Date</vt:lpstr>
      <vt:lpstr>PARM_To_Date</vt:lpstr>
      <vt:lpstr>Cash!Print_Area</vt:lpstr>
      <vt:lpstr>Comparison!Print_Area</vt:lpstr>
      <vt:lpstr>Dividends!Print_Area</vt:lpstr>
      <vt:lpstr>Open_Trades!Print_Area</vt:lpstr>
      <vt:lpstr>'Pending_FX '!Print_Area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TRAN_REQ_ACCOUNT</vt:lpstr>
      <vt:lpstr>TRAN_REQ_DATE_TYPE</vt:lpstr>
      <vt:lpstr>TRAN_REQ_FILTER_CODE_1</vt:lpstr>
      <vt:lpstr>TRAN_REQ_FILTER_CODE_2</vt:lpstr>
      <vt:lpstr>TRAN_REQ_FILTER_CODE_3</vt:lpstr>
      <vt:lpstr>TRAN_REQ_FILTER_OPERAND_1</vt:lpstr>
      <vt:lpstr>TRAN_REQ_FILTER_OPERAND_2</vt:lpstr>
      <vt:lpstr>TRAN_REQ_FILTER_OPERAND_3</vt:lpstr>
      <vt:lpstr>TRAN_REQ_FILTER_VALUE_1</vt:lpstr>
      <vt:lpstr>TRAN_REQ_FILTER_VALUE_2</vt:lpstr>
      <vt:lpstr>TRAN_REQ_FILTER_VALUE_3</vt:lpstr>
      <vt:lpstr>TRAN_REQ_FROM_DATE</vt:lpstr>
      <vt:lpstr>TRAN_REQ_To_DATE</vt:lpstr>
      <vt:lpstr>TRAN2_REQ_ACCOUNT</vt:lpstr>
      <vt:lpstr>TRAN2_REQ_DATE_TYPE</vt:lpstr>
      <vt:lpstr>TRAN2_REQ_FILTER_CODE_1</vt:lpstr>
      <vt:lpstr>TRAN2_REQ_FILTER_CODE_2</vt:lpstr>
      <vt:lpstr>TRAN2_REQ_FILTER_CODE_3</vt:lpstr>
      <vt:lpstr>TRAN2_REQ_FILTER_OPERAND_1</vt:lpstr>
      <vt:lpstr>TRAN2_REQ_FILTER_OPERAND_2</vt:lpstr>
      <vt:lpstr>TRAN2_REQ_FILTER_OPERAND_3</vt:lpstr>
      <vt:lpstr>TRAN2_REQ_FILTER_VALUE_1</vt:lpstr>
      <vt:lpstr>TRAN2_REQ_FILTER_VALUE_2</vt:lpstr>
      <vt:lpstr>TRAN2_REQ_FILTER_VALUE_3</vt:lpstr>
      <vt:lpstr>TRAN2_REQ_FROM_DATE</vt:lpstr>
      <vt:lpstr>TRAN2_REQ_To_DATE</vt:lpstr>
      <vt:lpstr>TRAN3_INSERTED_ROWS</vt:lpstr>
      <vt:lpstr>TRAN3_REQ_ACCOUNT</vt:lpstr>
      <vt:lpstr>TRAN3_REQ_DATE_TYPE</vt:lpstr>
      <vt:lpstr>TRAN3_REQ_FILTER_CODE_1</vt:lpstr>
      <vt:lpstr>TRAN3_REQ_FILTER_CODE_2</vt:lpstr>
      <vt:lpstr>TRAN3_REQ_FILTER_CODE_3</vt:lpstr>
      <vt:lpstr>TRAN3_REQ_FILTER_OPERAND_1</vt:lpstr>
      <vt:lpstr>TRAN3_REQ_FILTER_OPERAND_2</vt:lpstr>
      <vt:lpstr>TRAN3_REQ_FILTER_OPERAND_3</vt:lpstr>
      <vt:lpstr>TRAN3_REQ_FILTER_VALUE_1</vt:lpstr>
      <vt:lpstr>TRAN3_REQ_FILTER_VALUE_2</vt:lpstr>
      <vt:lpstr>TRAN3_REQ_FILTER_VALUE_3</vt:lpstr>
      <vt:lpstr>TRAN3_REQ_FROM_DATE</vt:lpstr>
      <vt:lpstr>TRAN3_REQ_To_DATE</vt:lpstr>
      <vt:lpstr>TRAN4_REQ_ACCOUNT</vt:lpstr>
      <vt:lpstr>TRAN4_REQ_DATE_TYPE</vt:lpstr>
      <vt:lpstr>TRAN4_REQ_FILTER_CODE_1</vt:lpstr>
      <vt:lpstr>TRAN4_REQ_FILTER_CODE_2</vt:lpstr>
      <vt:lpstr>TRAN4_REQ_FILTER_CODE_3</vt:lpstr>
      <vt:lpstr>TRAN4_REQ_FILTER_CODE_4</vt:lpstr>
      <vt:lpstr>TRAN4_REQ_FILTER_OPERAND_1</vt:lpstr>
      <vt:lpstr>TRAN4_REQ_FILTER_OPERAND_2</vt:lpstr>
      <vt:lpstr>TRAN4_REQ_FILTER_OPERAND_3</vt:lpstr>
      <vt:lpstr>TRAN4_REQ_FILTER_OPERAND_4</vt:lpstr>
      <vt:lpstr>TRAN4_REQ_FILTER_VALUE_1</vt:lpstr>
      <vt:lpstr>TRAN4_REQ_FILTER_VALUE_2</vt:lpstr>
      <vt:lpstr>TRAN4_REQ_FILTER_VALUE_3</vt:lpstr>
      <vt:lpstr>TRAN4_REQ_FILTER_VALUE_4</vt:lpstr>
      <vt:lpstr>TRAN4_REQ_FROM_DATE</vt:lpstr>
      <vt:lpstr>TRAN4_REQ_To_DATE</vt:lpstr>
      <vt:lpstr>'Pending_FX '!TRAN5_INSERTED_ROWS</vt:lpstr>
      <vt:lpstr>TRAN5_REQ_ACCOUNT</vt:lpstr>
      <vt:lpstr>TRAN5_REQ_DATE_TYPE</vt:lpstr>
      <vt:lpstr>TRAN5_REQ_FILTER_CODE_1</vt:lpstr>
      <vt:lpstr>TRAN5_REQ_FILTER_CODE_2</vt:lpstr>
      <vt:lpstr>TRAN5_REQ_FILTER_CODE_3</vt:lpstr>
      <vt:lpstr>TRAN5_REQ_FILTER_CODE_4</vt:lpstr>
      <vt:lpstr>TRAN5_REQ_FILTER_OPERAND_1</vt:lpstr>
      <vt:lpstr>TRAN5_REQ_FILTER_OPERAND_2</vt:lpstr>
      <vt:lpstr>TRAN5_REQ_FILTER_OPERAND_3</vt:lpstr>
      <vt:lpstr>TRAN5_REQ_FILTER_OPERAND_4</vt:lpstr>
      <vt:lpstr>TRAN5_REQ_FILTER_VALUE_1</vt:lpstr>
      <vt:lpstr>TRAN5_REQ_FILTER_VALUE_2</vt:lpstr>
      <vt:lpstr>TRAN5_REQ_FILTER_VALUE_3</vt:lpstr>
      <vt:lpstr>TRAN5_REQ_FILTER_VALUE_4</vt:lpstr>
      <vt:lpstr>TRAN5_REQ_FROM_DATE</vt:lpstr>
      <vt:lpstr>TRAN5_REQ_To_DATE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Larsen</dc:creator>
  <cp:lastModifiedBy>llarsen</cp:lastModifiedBy>
  <cp:lastPrinted>2013-08-21T15:56:46Z</cp:lastPrinted>
  <dcterms:created xsi:type="dcterms:W3CDTF">2007-04-09T18:06:04Z</dcterms:created>
  <dcterms:modified xsi:type="dcterms:W3CDTF">2015-06-08T18:16:49Z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