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sfllc.sharepoint.com/sites/DSFADV/Shared Documents/DSF Advisors Corporate Files/DSF - Promethos Capital/LEIA/Monthly Reports to LEIA/03 March 2022/"/>
    </mc:Choice>
  </mc:AlternateContent>
  <xr:revisionPtr revIDLastSave="21" documentId="8_{0E9D885C-1A36-4F98-85F6-DCEDF559CF0B}" xr6:coauthVersionLast="47" xr6:coauthVersionMax="47" xr10:uidLastSave="{5B5596B2-7DA0-4AF3-8F62-6F4DBED00539}"/>
  <bookViews>
    <workbookView xWindow="-108" yWindow="-108" windowWidth="23256" windowHeight="12576" tabRatio="742" xr2:uid="{00000000-000D-0000-FFFF-FFFF00000000}"/>
  </bookViews>
  <sheets>
    <sheet name="Output" sheetId="7" r:id="rId1"/>
    <sheet name="Portfolio Appraisal -&gt;" sheetId="15" r:id="rId2"/>
    <sheet name="ERS" sheetId="17" r:id="rId3"/>
  </sheets>
  <definedNames>
    <definedName name="_xlnm.Print_Area" localSheetId="2">ERS!$B$6:$I$84</definedName>
    <definedName name="_xlnm.Print_Area" localSheetId="0">Output!$A$1:$H$63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7" l="1"/>
  <c r="I80" i="17" l="1"/>
  <c r="F80" i="17"/>
  <c r="I24" i="17"/>
  <c r="I16" i="17"/>
  <c r="F16" i="17"/>
  <c r="B3" i="17"/>
  <c r="F82" i="17" l="1"/>
  <c r="I82" i="17"/>
  <c r="J51" i="17" s="1"/>
  <c r="J65" i="17"/>
  <c r="J49" i="17"/>
  <c r="J33" i="17"/>
  <c r="J63" i="17"/>
  <c r="J47" i="17"/>
  <c r="J31" i="17"/>
  <c r="J40" i="17"/>
  <c r="J54" i="17"/>
  <c r="J64" i="17"/>
  <c r="J32" i="17"/>
  <c r="J14" i="17"/>
  <c r="J78" i="17"/>
  <c r="J62" i="17"/>
  <c r="J30" i="17"/>
  <c r="J12" i="17"/>
  <c r="J75" i="17"/>
  <c r="J43" i="17"/>
  <c r="J58" i="17"/>
  <c r="J42" i="17"/>
  <c r="J57" i="17"/>
  <c r="J72" i="17"/>
  <c r="J55" i="17"/>
  <c r="J53" i="17"/>
  <c r="J50" i="17"/>
  <c r="J77" i="17"/>
  <c r="J61" i="17"/>
  <c r="J45" i="17"/>
  <c r="J29" i="17"/>
  <c r="J76" i="17"/>
  <c r="J60" i="17"/>
  <c r="J44" i="17"/>
  <c r="J28" i="17"/>
  <c r="J59" i="17"/>
  <c r="J74" i="17"/>
  <c r="J56" i="17"/>
  <c r="J39" i="17"/>
  <c r="J70" i="17"/>
  <c r="J21" i="17"/>
  <c r="J37" i="17"/>
  <c r="J73" i="17"/>
  <c r="J41" i="17"/>
  <c r="J22" i="17"/>
  <c r="J38" i="17"/>
  <c r="J69" i="17"/>
  <c r="J66" i="17"/>
  <c r="J23" i="17"/>
  <c r="J34" i="17" l="1"/>
  <c r="J46" i="17"/>
  <c r="J35" i="17"/>
  <c r="J13" i="17"/>
  <c r="J20" i="17"/>
  <c r="J67" i="17"/>
  <c r="J19" i="17"/>
  <c r="J48" i="17"/>
  <c r="J36" i="17"/>
  <c r="J52" i="17"/>
  <c r="J71" i="17"/>
  <c r="J68" i="17"/>
  <c r="J16" i="17"/>
  <c r="J80" i="17"/>
  <c r="J24" i="17"/>
  <c r="J82" i="17" l="1"/>
  <c r="H17" i="7" l="1"/>
  <c r="F17" i="7"/>
  <c r="H11" i="7"/>
  <c r="F11" i="7"/>
  <c r="K11" i="7"/>
  <c r="H48" i="7" l="1"/>
  <c r="H47" i="7"/>
  <c r="D56" i="7"/>
  <c r="D55" i="7" s="1"/>
  <c r="D51" i="7"/>
  <c r="J47" i="7"/>
  <c r="D58" i="7" l="1"/>
  <c r="D59" i="7" s="1"/>
  <c r="K56" i="7"/>
  <c r="C17" i="7" l="1"/>
  <c r="D62" i="7"/>
  <c r="D11" i="7" s="1"/>
  <c r="L11" i="7" s="1"/>
  <c r="D61" i="7"/>
  <c r="D17" i="7" s="1"/>
  <c r="L47" i="7" l="1"/>
  <c r="J59" i="7" l="1"/>
  <c r="K61" i="7" l="1"/>
  <c r="K47" i="7"/>
  <c r="J58" i="7" l="1"/>
  <c r="B3" i="7" l="1"/>
  <c r="H49" i="7" l="1"/>
  <c r="H58" i="7" l="1"/>
  <c r="K58" i="7" l="1"/>
  <c r="C20" i="7"/>
  <c r="H59" i="7" l="1"/>
  <c r="K59" i="7"/>
</calcChain>
</file>

<file path=xl/sharedStrings.xml><?xml version="1.0" encoding="utf-8"?>
<sst xmlns="http://schemas.openxmlformats.org/spreadsheetml/2006/main" count="298" uniqueCount="204">
  <si>
    <t>Net performance</t>
  </si>
  <si>
    <t>Item</t>
  </si>
  <si>
    <t>Beginning NAV</t>
  </si>
  <si>
    <t>Capital Contributions</t>
  </si>
  <si>
    <t>Capital Distributions</t>
  </si>
  <si>
    <t>P&amp;L</t>
  </si>
  <si>
    <t>Operating Expenses</t>
  </si>
  <si>
    <t>Management Fees</t>
  </si>
  <si>
    <t>Other Operating Expenses</t>
  </si>
  <si>
    <t>Mark to Market (MTM)</t>
  </si>
  <si>
    <t>Realized and Unrealized gains/losses (include FX)</t>
  </si>
  <si>
    <t>Net Income:</t>
  </si>
  <si>
    <t>Ending NAV:</t>
  </si>
  <si>
    <t>AUM</t>
  </si>
  <si>
    <t>Amount</t>
  </si>
  <si>
    <t xml:space="preserve">Check </t>
  </si>
  <si>
    <t xml:space="preserve">Total </t>
  </si>
  <si>
    <t>Actual Performance Bridge (USD)</t>
  </si>
  <si>
    <t>Dividend tax</t>
  </si>
  <si>
    <t>Promethos Capital LLC</t>
  </si>
  <si>
    <t>Monthly Performance -  reporting</t>
  </si>
  <si>
    <t>NYC ERS - N15J</t>
  </si>
  <si>
    <t>ERS</t>
  </si>
  <si>
    <t>Dividend &amp; Interest</t>
  </si>
  <si>
    <t>Gross performance (before Mgmt)</t>
  </si>
  <si>
    <t>Other Information</t>
  </si>
  <si>
    <t>Fund</t>
  </si>
  <si>
    <t>N/A</t>
  </si>
  <si>
    <t>Firm AUM (Est.)</t>
  </si>
  <si>
    <t xml:space="preserve">Manager changes in ownership </t>
  </si>
  <si>
    <t>None</t>
  </si>
  <si>
    <t>Current Staff size</t>
  </si>
  <si>
    <t>Staff Gains/(Losses)</t>
  </si>
  <si>
    <t>MTD</t>
  </si>
  <si>
    <t>QTD</t>
  </si>
  <si>
    <t>Fund Net Returns</t>
  </si>
  <si>
    <t xml:space="preserve">MSCI ACWI Ex USA IMI Net </t>
  </si>
  <si>
    <t>Benchmark</t>
  </si>
  <si>
    <t>Performance</t>
  </si>
  <si>
    <t>YTD</t>
  </si>
  <si>
    <t>6 Months</t>
  </si>
  <si>
    <t>Fund Gross Returns</t>
  </si>
  <si>
    <t>Inception Date</t>
  </si>
  <si>
    <t>ITD*</t>
  </si>
  <si>
    <t xml:space="preserve">*Fund returns are since date of inception and have not been annualized. </t>
  </si>
  <si>
    <t>Notes</t>
  </si>
  <si>
    <t>Security Name</t>
  </si>
  <si>
    <t>Shares/Par Value</t>
  </si>
  <si>
    <t>Base Total Cost</t>
  </si>
  <si>
    <t>Currency Code</t>
  </si>
  <si>
    <t>Base Price Amount</t>
  </si>
  <si>
    <t>Base Market Value</t>
  </si>
  <si>
    <t>TORONTO DOMINION BANK</t>
  </si>
  <si>
    <t>USD</t>
  </si>
  <si>
    <t>SCHNEIDER ELECTRIC SE</t>
  </si>
  <si>
    <t>EUR</t>
  </si>
  <si>
    <t>FUJITSU LTD</t>
  </si>
  <si>
    <t>JPY</t>
  </si>
  <si>
    <t>ORIX CORP</t>
  </si>
  <si>
    <t>NEXITY</t>
  </si>
  <si>
    <t>STATE STREET BANK + TRUST CO</t>
  </si>
  <si>
    <t>L OREAL</t>
  </si>
  <si>
    <t>NTT DATA CORP</t>
  </si>
  <si>
    <t>COMPAGNIE DE SAINT GOBAIN</t>
  </si>
  <si>
    <t>BURBERRY GROUP PLC</t>
  </si>
  <si>
    <t>GBP</t>
  </si>
  <si>
    <t>CASTELLUM AB</t>
  </si>
  <si>
    <t>SEK</t>
  </si>
  <si>
    <t>CHINA LONGYUAN POWER GROUP H</t>
  </si>
  <si>
    <t>HKD</t>
  </si>
  <si>
    <t>CARREFOUR SA</t>
  </si>
  <si>
    <t>SOPRA STERIA GROUP</t>
  </si>
  <si>
    <t>BAYERISCHE MOTOREN WERKE AG</t>
  </si>
  <si>
    <t>WIPRO LTD ADR</t>
  </si>
  <si>
    <t>AXA SA</t>
  </si>
  <si>
    <t>ACERINOX SA</t>
  </si>
  <si>
    <t>WPP PLC</t>
  </si>
  <si>
    <t>ASR NEDERLAND NV</t>
  </si>
  <si>
    <t>COVESTRO AG</t>
  </si>
  <si>
    <t>ARCADIS NV</t>
  </si>
  <si>
    <t>WESFARMERS LTD</t>
  </si>
  <si>
    <t>AUD</t>
  </si>
  <si>
    <t>ATOS SE</t>
  </si>
  <si>
    <t>DEUTSCHE POST AG REG</t>
  </si>
  <si>
    <t>WEICHAI POWER CO LTD H</t>
  </si>
  <si>
    <t>LAWSON INC</t>
  </si>
  <si>
    <t>MAGNA INTERNATIONAL INC</t>
  </si>
  <si>
    <t>CHF</t>
  </si>
  <si>
    <t>ITOCHU CORP</t>
  </si>
  <si>
    <t>NOMURA RESEARCH INSTITUTE LT</t>
  </si>
  <si>
    <t>KINGFISHER PLC</t>
  </si>
  <si>
    <t>REXEL SA</t>
  </si>
  <si>
    <t>3I GROUP PLC</t>
  </si>
  <si>
    <t>KB FINANCIAL GROUP INC ADR</t>
  </si>
  <si>
    <t>SAWAI GROUP HOLDINGS CO LTD</t>
  </si>
  <si>
    <t>ROCHE HOLDING AG GENUSSCHEIN</t>
  </si>
  <si>
    <t>ISUZU MOTORS LTD</t>
  </si>
  <si>
    <t>LENOVO GROUP LTD</t>
  </si>
  <si>
    <t>FORTESCUE METALS GROUP LTD</t>
  </si>
  <si>
    <t>EUTELSAT COMMUNICATIONS</t>
  </si>
  <si>
    <t>SHANDONG WEIGAO GP MEDICAL H</t>
  </si>
  <si>
    <t>MS+AD INSURANCE GROUP HOLDIN</t>
  </si>
  <si>
    <t>RESOLUTE FOREST PRODUCTS</t>
  </si>
  <si>
    <t>STANTEC INC</t>
  </si>
  <si>
    <t>CAD</t>
  </si>
  <si>
    <t>HYPERA SA</t>
  </si>
  <si>
    <t>BRL</t>
  </si>
  <si>
    <t>SHINHAN FINANCIAL GROUP ADR</t>
  </si>
  <si>
    <t>ASPEN PHARMACARE HOLDINGS LT</t>
  </si>
  <si>
    <t>ZAR</t>
  </si>
  <si>
    <t>CHINA CONSTRUCTION BANK H</t>
  </si>
  <si>
    <t>CIA ENERGETICA MINAS GER PRF</t>
  </si>
  <si>
    <t>UBS GROUP AG REG</t>
  </si>
  <si>
    <t>MEDIBANK PRIVATE LTD</t>
  </si>
  <si>
    <t>PLDT INC</t>
  </si>
  <si>
    <t>PHP</t>
  </si>
  <si>
    <t>GRAN TOTAL</t>
  </si>
  <si>
    <t>Cash &amp; Cash Equivalents</t>
  </si>
  <si>
    <t>Securities</t>
  </si>
  <si>
    <t>Tota Equities</t>
  </si>
  <si>
    <t>Total Cash &amp; Cash Equivalents</t>
  </si>
  <si>
    <t>Portfolio Appraisal Report</t>
  </si>
  <si>
    <t>Total Accounts Receivables &amp; Payables</t>
  </si>
  <si>
    <t>Accounts Receivables &amp; Payables</t>
  </si>
  <si>
    <t>Interest Receivable</t>
  </si>
  <si>
    <t>Dividends Receivable</t>
  </si>
  <si>
    <t>Tax Reclaims Receivable</t>
  </si>
  <si>
    <t xml:space="preserve">Cash </t>
  </si>
  <si>
    <t>Manager Fee Payable</t>
  </si>
  <si>
    <t>GB00B1YW4409</t>
  </si>
  <si>
    <t>ES0132105018</t>
  </si>
  <si>
    <t>NL0006237562</t>
  </si>
  <si>
    <t>ZAE000066692</t>
  </si>
  <si>
    <t>NL0011872643</t>
  </si>
  <si>
    <t>FR0000051732</t>
  </si>
  <si>
    <t>FR0000120628</t>
  </si>
  <si>
    <t>DE0005190003</t>
  </si>
  <si>
    <t>GB0031743007</t>
  </si>
  <si>
    <t>FR0000120172</t>
  </si>
  <si>
    <t>SE0000379190</t>
  </si>
  <si>
    <t>CNE1000002H1</t>
  </si>
  <si>
    <t>CNE100000HD4</t>
  </si>
  <si>
    <t>BRCMIGACNPR3</t>
  </si>
  <si>
    <t>FR0000125007</t>
  </si>
  <si>
    <t>DE0006062144</t>
  </si>
  <si>
    <t>DE0005552004</t>
  </si>
  <si>
    <t>FR0010221234</t>
  </si>
  <si>
    <t>AU000000FMG4</t>
  </si>
  <si>
    <t>JP3818000006</t>
  </si>
  <si>
    <t>BRHYPEACNOR0</t>
  </si>
  <si>
    <t>JP3137200006</t>
  </si>
  <si>
    <t>JP3143600009</t>
  </si>
  <si>
    <t>US48241A1051</t>
  </si>
  <si>
    <t>GB0033195214</t>
  </si>
  <si>
    <t>FR0000120321</t>
  </si>
  <si>
    <t>JP3982100004</t>
  </si>
  <si>
    <t>HK0992009065</t>
  </si>
  <si>
    <t>CA5592224011</t>
  </si>
  <si>
    <t>AU000000MPL3</t>
  </si>
  <si>
    <t>JP3890310000</t>
  </si>
  <si>
    <t>FR0010112524</t>
  </si>
  <si>
    <t>JP3762800005</t>
  </si>
  <si>
    <t>JP3165700000</t>
  </si>
  <si>
    <t>JP3200450009</t>
  </si>
  <si>
    <t>PHY7072Q1032</t>
  </si>
  <si>
    <t>US76117W1099</t>
  </si>
  <si>
    <t>FR0010451203</t>
  </si>
  <si>
    <t>CH0012032048</t>
  </si>
  <si>
    <t>JP3323040000</t>
  </si>
  <si>
    <t>FR0000121972</t>
  </si>
  <si>
    <t>CNE100000171</t>
  </si>
  <si>
    <t>US8245961003</t>
  </si>
  <si>
    <t>FR0000050809</t>
  </si>
  <si>
    <t>CA85472N1096</t>
  </si>
  <si>
    <t>CA8911605092</t>
  </si>
  <si>
    <t>CH0244767585</t>
  </si>
  <si>
    <t>CNE1000004L9</t>
  </si>
  <si>
    <t>AU000000WES1</t>
  </si>
  <si>
    <t>US97651M1099</t>
  </si>
  <si>
    <t>JE00B8KF9B49</t>
  </si>
  <si>
    <t>ISIN Number</t>
  </si>
  <si>
    <t xml:space="preserve">Other </t>
  </si>
  <si>
    <t>% of NAV</t>
  </si>
  <si>
    <t>Country</t>
  </si>
  <si>
    <t>AUSTRALIA</t>
  </si>
  <si>
    <t>BRAZIL</t>
  </si>
  <si>
    <t>CANADA</t>
  </si>
  <si>
    <t>SWITZERLAND</t>
  </si>
  <si>
    <t>SPAIN</t>
  </si>
  <si>
    <t>NETHERLANDS (THE)</t>
  </si>
  <si>
    <t>FRANCE</t>
  </si>
  <si>
    <t>GERMANY</t>
  </si>
  <si>
    <t>UNITED KINGDOM</t>
  </si>
  <si>
    <t>JERSEY</t>
  </si>
  <si>
    <t>CHINA</t>
  </si>
  <si>
    <t>HONG KONG</t>
  </si>
  <si>
    <t>JAPAN</t>
  </si>
  <si>
    <t>PHILIPPINES (THE)</t>
  </si>
  <si>
    <t>SWEDEN</t>
  </si>
  <si>
    <t>KOREA (THE REPUBLIC OF)</t>
  </si>
  <si>
    <t>INDIA</t>
  </si>
  <si>
    <t>SOUTH AFRICA</t>
  </si>
  <si>
    <t>UNITED STATES</t>
  </si>
  <si>
    <t>Fund: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</si>
</sst>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409]mmmm\-yy;@"/>
    <numFmt numFmtId="166" formatCode="[$-409]d\-mmm;@"/>
    <numFmt numFmtId="167" formatCode="_(* #,##0_);_(* \(#,##0\);_(* &quot;-&quot;??_);_(@_)"/>
    <numFmt numFmtId="168" formatCode="_-* #,##0_-;\-* #,##0_-;_-* &quot;-&quot;_-;_-@_-"/>
    <numFmt numFmtId="169" formatCode="0.000%"/>
    <numFmt numFmtId="170" formatCode="mm/dd/yy;@"/>
    <numFmt numFmtId="171" formatCode="#,##0.000;\(#,##0.000\)"/>
    <numFmt numFmtId="172" formatCode="#,##0.00;\(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i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233F62"/>
      <name val="Calibri"/>
      <family val="2"/>
      <scheme val="minor"/>
    </font>
    <font>
      <sz val="11"/>
      <color rgb="FF233F62"/>
      <name val="Calibri"/>
      <family val="2"/>
      <scheme val="minor"/>
    </font>
    <font>
      <b/>
      <u val="singleAccounting"/>
      <sz val="11"/>
      <color rgb="FF233F62"/>
      <name val="Calibri"/>
      <family val="2"/>
      <scheme val="minor"/>
    </font>
    <font>
      <u val="singleAccounting"/>
      <sz val="11"/>
      <color rgb="FF233F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1740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7406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138">
    <xf numFmtId="0" fontId="0" fillId="0" borderId="0" xfId="0"/>
    <xf numFmtId="0" fontId="3" fillId="0" borderId="0" xfId="0" applyFont="1"/>
    <xf numFmtId="17" fontId="0" fillId="0" borderId="0" xfId="0" quotePrefix="1" applyNumberFormat="1"/>
    <xf numFmtId="0" fontId="0" fillId="0" borderId="0" xfId="0" applyFont="1"/>
    <xf numFmtId="165" fontId="5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10" fontId="0" fillId="0" borderId="0" xfId="0" applyNumberFormat="1" applyFont="1" applyAlignment="1">
      <alignment horizontal="center"/>
    </xf>
    <xf numFmtId="10" fontId="0" fillId="0" borderId="0" xfId="2" applyNumberFormat="1" applyFont="1"/>
    <xf numFmtId="0" fontId="0" fillId="0" borderId="0" xfId="0" applyFont="1" applyAlignment="1">
      <alignment vertical="center"/>
    </xf>
    <xf numFmtId="10" fontId="0" fillId="0" borderId="0" xfId="0" applyNumberFormat="1" applyFont="1"/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center" wrapText="1"/>
    </xf>
    <xf numFmtId="0" fontId="8" fillId="5" borderId="2" xfId="3" applyFont="1" applyFill="1" applyBorder="1" applyAlignment="1">
      <alignment horizontal="center" vertical="center" wrapText="1"/>
    </xf>
    <xf numFmtId="166" fontId="8" fillId="5" borderId="3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left" vertical="center"/>
    </xf>
    <xf numFmtId="167" fontId="9" fillId="2" borderId="2" xfId="1" applyNumberFormat="1" applyFont="1" applyFill="1" applyBorder="1" applyAlignment="1">
      <alignment horizontal="right" vertical="center"/>
    </xf>
    <xf numFmtId="0" fontId="10" fillId="2" borderId="2" xfId="3" applyFont="1" applyFill="1" applyBorder="1" applyAlignment="1">
      <alignment horizontal="left" vertical="center" indent="2"/>
    </xf>
    <xf numFmtId="167" fontId="10" fillId="2" borderId="2" xfId="1" applyNumberFormat="1" applyFont="1" applyFill="1" applyBorder="1" applyAlignment="1">
      <alignment horizontal="right" vertical="center"/>
    </xf>
    <xf numFmtId="0" fontId="9" fillId="2" borderId="2" xfId="3" applyFont="1" applyFill="1" applyBorder="1" applyAlignment="1">
      <alignment horizontal="left" vertical="center" indent="1"/>
    </xf>
    <xf numFmtId="167" fontId="11" fillId="2" borderId="2" xfId="1" applyNumberFormat="1" applyFont="1" applyFill="1" applyBorder="1" applyAlignment="1">
      <alignment horizontal="right" vertical="center"/>
    </xf>
    <xf numFmtId="43" fontId="11" fillId="2" borderId="2" xfId="1" applyNumberFormat="1" applyFont="1" applyFill="1" applyBorder="1" applyAlignment="1">
      <alignment horizontal="right" vertical="center"/>
    </xf>
    <xf numFmtId="0" fontId="10" fillId="2" borderId="2" xfId="3" applyFont="1" applyFill="1" applyBorder="1" applyAlignment="1">
      <alignment horizontal="left" vertical="center" indent="3"/>
    </xf>
    <xf numFmtId="43" fontId="10" fillId="2" borderId="2" xfId="1" applyNumberFormat="1" applyFont="1" applyFill="1" applyBorder="1" applyAlignment="1">
      <alignment horizontal="right" vertical="center"/>
    </xf>
    <xf numFmtId="43" fontId="12" fillId="2" borderId="2" xfId="1" applyNumberFormat="1" applyFont="1" applyFill="1" applyBorder="1" applyAlignment="1">
      <alignment horizontal="right" vertical="center"/>
    </xf>
    <xf numFmtId="0" fontId="9" fillId="2" borderId="2" xfId="3" applyFont="1" applyFill="1" applyBorder="1" applyAlignment="1">
      <alignment horizontal="right" vertical="center"/>
    </xf>
    <xf numFmtId="43" fontId="9" fillId="2" borderId="2" xfId="1" applyFont="1" applyFill="1" applyBorder="1" applyAlignment="1">
      <alignment horizontal="right" vertical="center"/>
    </xf>
    <xf numFmtId="10" fontId="10" fillId="2" borderId="2" xfId="2" applyNumberFormat="1" applyFont="1" applyFill="1" applyBorder="1" applyAlignment="1">
      <alignment horizontal="right" vertical="center"/>
    </xf>
    <xf numFmtId="43" fontId="0" fillId="0" borderId="0" xfId="1" applyFont="1"/>
    <xf numFmtId="167" fontId="0" fillId="0" borderId="0" xfId="0" applyNumberFormat="1" applyFont="1"/>
    <xf numFmtId="14" fontId="0" fillId="0" borderId="0" xfId="0" applyNumberFormat="1"/>
    <xf numFmtId="10" fontId="0" fillId="0" borderId="0" xfId="2" applyNumberFormat="1" applyFont="1" applyAlignment="1">
      <alignment horizontal="center"/>
    </xf>
    <xf numFmtId="165" fontId="3" fillId="0" borderId="0" xfId="0" quotePrefix="1" applyNumberFormat="1" applyFont="1" applyAlignment="1">
      <alignment horizontal="left"/>
    </xf>
    <xf numFmtId="164" fontId="0" fillId="0" borderId="0" xfId="0" applyNumberFormat="1"/>
    <xf numFmtId="0" fontId="0" fillId="0" borderId="0" xfId="0"/>
    <xf numFmtId="10" fontId="0" fillId="6" borderId="0" xfId="2" applyNumberFormat="1" applyFont="1" applyFill="1"/>
    <xf numFmtId="167" fontId="0" fillId="0" borderId="0" xfId="1" applyNumberFormat="1" applyFont="1"/>
    <xf numFmtId="43" fontId="0" fillId="6" borderId="0" xfId="2" applyNumberFormat="1" applyFont="1" applyFill="1"/>
    <xf numFmtId="169" fontId="0" fillId="0" borderId="0" xfId="2" applyNumberFormat="1" applyFont="1"/>
    <xf numFmtId="3" fontId="0" fillId="0" borderId="0" xfId="0" applyNumberFormat="1"/>
    <xf numFmtId="0" fontId="0" fillId="0" borderId="0" xfId="0"/>
    <xf numFmtId="37" fontId="0" fillId="0" borderId="0" xfId="1" applyNumberFormat="1" applyFont="1" applyAlignment="1">
      <alignment horizontal="center" vertical="center"/>
    </xf>
    <xf numFmtId="167" fontId="0" fillId="0" borderId="1" xfId="1" applyNumberFormat="1" applyFont="1" applyBorder="1"/>
    <xf numFmtId="0" fontId="0" fillId="0" borderId="0" xfId="0" applyFont="1" applyAlignment="1">
      <alignment horizontal="center"/>
    </xf>
    <xf numFmtId="37" fontId="3" fillId="0" borderId="0" xfId="1" applyNumberFormat="1" applyFont="1" applyAlignment="1">
      <alignment horizontal="center" vertical="center"/>
    </xf>
    <xf numFmtId="37" fontId="0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 indent="3"/>
    </xf>
    <xf numFmtId="167" fontId="12" fillId="2" borderId="2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37" fontId="0" fillId="0" borderId="0" xfId="1" applyNumberFormat="1" applyFont="1" applyBorder="1" applyAlignment="1">
      <alignment horizontal="center" vertical="center"/>
    </xf>
    <xf numFmtId="0" fontId="0" fillId="7" borderId="0" xfId="0" applyFill="1" applyAlignment="1">
      <alignment horizontal="centerContinuous"/>
    </xf>
    <xf numFmtId="0" fontId="2" fillId="3" borderId="0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65" fontId="5" fillId="3" borderId="4" xfId="0" applyNumberFormat="1" applyFont="1" applyFill="1" applyBorder="1" applyAlignment="1">
      <alignment horizontal="left" vertical="center"/>
    </xf>
    <xf numFmtId="37" fontId="13" fillId="0" borderId="0" xfId="1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/>
    </xf>
    <xf numFmtId="10" fontId="13" fillId="0" borderId="0" xfId="2" applyNumberFormat="1" applyFont="1" applyAlignment="1">
      <alignment horizontal="center"/>
    </xf>
    <xf numFmtId="166" fontId="0" fillId="0" borderId="0" xfId="0" applyNumberFormat="1" applyFont="1"/>
    <xf numFmtId="0" fontId="0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170" fontId="0" fillId="0" borderId="0" xfId="1" applyNumberFormat="1" applyFont="1" applyBorder="1" applyAlignment="1">
      <alignment horizontal="center" vertical="center"/>
    </xf>
    <xf numFmtId="37" fontId="0" fillId="0" borderId="0" xfId="0" applyNumberFormat="1" applyFont="1" applyFill="1" applyAlignment="1">
      <alignment horizontal="center"/>
    </xf>
    <xf numFmtId="0" fontId="3" fillId="0" borderId="0" xfId="0" applyFont="1" applyAlignment="1">
      <alignment vertical="center"/>
    </xf>
    <xf numFmtId="171" fontId="15" fillId="0" borderId="0" xfId="3" applyNumberFormat="1" applyFont="1"/>
    <xf numFmtId="171" fontId="15" fillId="0" borderId="0" xfId="3" applyNumberFormat="1" applyFont="1" applyAlignment="1">
      <alignment horizontal="center"/>
    </xf>
    <xf numFmtId="167" fontId="15" fillId="0" borderId="0" xfId="1" applyNumberFormat="1" applyFont="1"/>
    <xf numFmtId="43" fontId="0" fillId="0" borderId="0" xfId="1" applyNumberFormat="1" applyFont="1"/>
    <xf numFmtId="43" fontId="0" fillId="0" borderId="1" xfId="1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43" fontId="16" fillId="0" borderId="0" xfId="1" applyNumberFormat="1" applyFont="1" applyAlignment="1">
      <alignment horizontal="right"/>
    </xf>
    <xf numFmtId="167" fontId="16" fillId="0" borderId="0" xfId="1" applyNumberFormat="1" applyFont="1" applyAlignment="1">
      <alignment horizontal="right"/>
    </xf>
    <xf numFmtId="0" fontId="17" fillId="0" borderId="0" xfId="0" applyFont="1" applyAlignment="1">
      <alignment horizontal="left"/>
    </xf>
    <xf numFmtId="171" fontId="17" fillId="0" borderId="0" xfId="0" applyNumberFormat="1" applyFont="1" applyAlignment="1">
      <alignment horizontal="right"/>
    </xf>
    <xf numFmtId="172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center"/>
    </xf>
    <xf numFmtId="43" fontId="17" fillId="0" borderId="0" xfId="1" applyNumberFormat="1" applyFont="1" applyAlignment="1">
      <alignment horizontal="right"/>
    </xf>
    <xf numFmtId="167" fontId="17" fillId="0" borderId="0" xfId="1" applyNumberFormat="1" applyFont="1" applyAlignment="1">
      <alignment horizontal="right"/>
    </xf>
    <xf numFmtId="0" fontId="17" fillId="0" borderId="1" xfId="0" applyFont="1" applyBorder="1" applyAlignment="1">
      <alignment horizontal="left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43" fontId="16" fillId="0" borderId="1" xfId="1" applyNumberFormat="1" applyFont="1" applyBorder="1" applyAlignment="1">
      <alignment horizontal="right"/>
    </xf>
    <xf numFmtId="167" fontId="16" fillId="0" borderId="1" xfId="1" applyNumberFormat="1" applyFont="1" applyBorder="1" applyAlignment="1">
      <alignment horizontal="right"/>
    </xf>
    <xf numFmtId="172" fontId="16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43" fontId="17" fillId="0" borderId="1" xfId="1" applyNumberFormat="1" applyFont="1" applyBorder="1" applyAlignment="1">
      <alignment horizontal="right"/>
    </xf>
    <xf numFmtId="167" fontId="17" fillId="0" borderId="1" xfId="1" applyNumberFormat="1" applyFont="1" applyBorder="1" applyAlignment="1">
      <alignment horizontal="right"/>
    </xf>
    <xf numFmtId="49" fontId="17" fillId="0" borderId="0" xfId="0" applyNumberFormat="1" applyFont="1"/>
    <xf numFmtId="0" fontId="17" fillId="0" borderId="0" xfId="0" applyFont="1" applyBorder="1" applyAlignment="1">
      <alignment horizontal="left"/>
    </xf>
    <xf numFmtId="171" fontId="17" fillId="0" borderId="0" xfId="0" applyNumberFormat="1" applyFont="1" applyBorder="1" applyAlignment="1">
      <alignment horizontal="right"/>
    </xf>
    <xf numFmtId="172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43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0" fontId="16" fillId="0" borderId="0" xfId="3" applyFont="1" applyAlignment="1">
      <alignment horizontal="left"/>
    </xf>
    <xf numFmtId="0" fontId="7" fillId="0" borderId="0" xfId="3" applyFont="1"/>
    <xf numFmtId="43" fontId="7" fillId="0" borderId="0" xfId="1" applyNumberFormat="1" applyFont="1"/>
    <xf numFmtId="0" fontId="7" fillId="0" borderId="0" xfId="3" applyFont="1" applyAlignment="1">
      <alignment horizontal="center"/>
    </xf>
    <xf numFmtId="167" fontId="7" fillId="0" borderId="0" xfId="1" applyNumberFormat="1" applyFont="1"/>
    <xf numFmtId="0" fontId="16" fillId="0" borderId="5" xfId="6" applyFont="1" applyBorder="1"/>
    <xf numFmtId="171" fontId="16" fillId="0" borderId="5" xfId="6" applyNumberFormat="1" applyFont="1" applyBorder="1"/>
    <xf numFmtId="171" fontId="16" fillId="0" borderId="5" xfId="6" applyNumberFormat="1" applyFont="1" applyBorder="1" applyAlignment="1">
      <alignment horizontal="center"/>
    </xf>
    <xf numFmtId="43" fontId="16" fillId="0" borderId="5" xfId="1" applyNumberFormat="1" applyFont="1" applyBorder="1"/>
    <xf numFmtId="167" fontId="16" fillId="0" borderId="5" xfId="1" applyNumberFormat="1" applyFont="1" applyBorder="1"/>
    <xf numFmtId="39" fontId="16" fillId="0" borderId="0" xfId="6" applyNumberFormat="1" applyFont="1"/>
    <xf numFmtId="0" fontId="16" fillId="0" borderId="0" xfId="6" applyFont="1"/>
    <xf numFmtId="0" fontId="17" fillId="0" borderId="0" xfId="6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43" fontId="19" fillId="0" borderId="0" xfId="1" applyNumberFormat="1" applyFont="1"/>
    <xf numFmtId="167" fontId="19" fillId="0" borderId="0" xfId="1" applyNumberFormat="1" applyFont="1"/>
    <xf numFmtId="165" fontId="18" fillId="0" borderId="0" xfId="0" quotePrefix="1" applyNumberFormat="1" applyFont="1" applyAlignment="1">
      <alignment horizontal="left"/>
    </xf>
    <xf numFmtId="0" fontId="16" fillId="4" borderId="0" xfId="0" applyFont="1" applyFill="1" applyAlignment="1">
      <alignment horizontal="left"/>
    </xf>
    <xf numFmtId="10" fontId="19" fillId="0" borderId="0" xfId="2" applyNumberFormat="1" applyFont="1"/>
    <xf numFmtId="10" fontId="16" fillId="0" borderId="0" xfId="2" applyNumberFormat="1" applyFont="1" applyAlignment="1">
      <alignment horizontal="right"/>
    </xf>
    <xf numFmtId="10" fontId="17" fillId="0" borderId="0" xfId="2" applyNumberFormat="1" applyFont="1" applyAlignment="1">
      <alignment horizontal="right"/>
    </xf>
    <xf numFmtId="10" fontId="16" fillId="0" borderId="1" xfId="2" applyNumberFormat="1" applyFont="1" applyBorder="1" applyAlignment="1">
      <alignment horizontal="right"/>
    </xf>
    <xf numFmtId="10" fontId="17" fillId="0" borderId="1" xfId="2" applyNumberFormat="1" applyFont="1" applyBorder="1" applyAlignment="1">
      <alignment horizontal="right"/>
    </xf>
    <xf numFmtId="10" fontId="17" fillId="0" borderId="0" xfId="2" applyNumberFormat="1" applyFont="1" applyBorder="1" applyAlignment="1">
      <alignment horizontal="right"/>
    </xf>
    <xf numFmtId="10" fontId="0" fillId="0" borderId="1" xfId="2" applyNumberFormat="1" applyFont="1" applyBorder="1"/>
    <xf numFmtId="10" fontId="15" fillId="0" borderId="0" xfId="2" applyNumberFormat="1" applyFont="1"/>
    <xf numFmtId="10" fontId="7" fillId="0" borderId="0" xfId="2" applyNumberFormat="1" applyFont="1"/>
    <xf numFmtId="10" fontId="16" fillId="0" borderId="5" xfId="2" applyNumberFormat="1" applyFont="1" applyBorder="1"/>
    <xf numFmtId="0" fontId="16" fillId="8" borderId="1" xfId="0" applyFont="1" applyFill="1" applyBorder="1" applyAlignment="1">
      <alignment horizontal="left" wrapText="1"/>
    </xf>
    <xf numFmtId="0" fontId="16" fillId="8" borderId="1" xfId="0" applyFont="1" applyFill="1" applyBorder="1" applyAlignment="1">
      <alignment horizontal="right" wrapText="1"/>
    </xf>
    <xf numFmtId="0" fontId="16" fillId="8" borderId="1" xfId="0" applyFont="1" applyFill="1" applyBorder="1" applyAlignment="1">
      <alignment horizontal="center" wrapText="1"/>
    </xf>
    <xf numFmtId="43" fontId="16" fillId="8" borderId="1" xfId="1" applyNumberFormat="1" applyFont="1" applyFill="1" applyBorder="1" applyAlignment="1">
      <alignment horizontal="right" wrapText="1"/>
    </xf>
    <xf numFmtId="10" fontId="16" fillId="8" borderId="1" xfId="2" applyNumberFormat="1" applyFont="1" applyFill="1" applyBorder="1" applyAlignment="1">
      <alignment horizontal="right" wrapText="1"/>
    </xf>
    <xf numFmtId="167" fontId="16" fillId="8" borderId="1" xfId="1" applyNumberFormat="1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6" fillId="5" borderId="0" xfId="3" applyFont="1" applyFill="1" applyAlignment="1">
      <alignment horizontal="center" vertical="center" wrapText="1"/>
    </xf>
  </cellXfs>
  <cellStyles count="7">
    <cellStyle name="Comma" xfId="1" builtinId="3"/>
    <cellStyle name="Comma [0] 2" xfId="4" xr:uid="{17F873AB-3708-487A-88BC-C24D47827FB3}"/>
    <cellStyle name="Comma 4" xfId="5" xr:uid="{C9FC6C85-0D43-4EBF-AAF1-2E1DF00BE7AB}"/>
    <cellStyle name="Normal" xfId="0" builtinId="0"/>
    <cellStyle name="Normal 2" xfId="3" xr:uid="{F434464F-426E-4DE2-91F4-7278779BF6E7}"/>
    <cellStyle name="Normal 3" xfId="6" xr:uid="{0C09D7D3-DDF1-40F4-B9B4-514B16EF8000}"/>
    <cellStyle name="Percent" xfId="2" builtinId="5"/>
  </cellStyles>
  <dxfs count="0"/>
  <tableStyles count="0" defaultTableStyle="TableStyleMedium2" defaultPivotStyle="PivotStyleLight16"/>
  <colors>
    <mruColors>
      <color rgb="FF17407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07CB-3F4F-4EC7-B790-BCC2B09B9F0C}">
  <sheetPr>
    <tabColor rgb="FF0000FF"/>
  </sheetPr>
  <dimension ref="A1:M63"/>
  <sheetViews>
    <sheetView showGridLines="0" tabSelected="1" view="pageBreakPreview" zoomScale="85" zoomScaleNormal="100" zoomScaleSheetLayoutView="85" workbookViewId="0">
      <selection activeCell="J22" sqref="J22:K25"/>
    </sheetView>
  </sheetViews>
  <sheetFormatPr defaultRowHeight="14.4" x14ac:dyDescent="0.3"/>
  <cols>
    <col min="1" max="1" width="2.44140625" customWidth="1"/>
    <col min="2" max="2" width="31.21875" customWidth="1"/>
    <col min="3" max="3" width="12.21875" bestFit="1" customWidth="1"/>
    <col min="4" max="4" width="13.88671875" style="39" customWidth="1"/>
    <col min="5" max="5" width="11.44140625" style="39" bestFit="1" customWidth="1"/>
    <col min="6" max="6" width="13.6640625" style="39" customWidth="1"/>
    <col min="7" max="7" width="9" style="39" bestFit="1" customWidth="1"/>
    <col min="8" max="8" width="13.33203125" bestFit="1" customWidth="1"/>
    <col min="9" max="9" width="23.77734375" bestFit="1" customWidth="1"/>
    <col min="10" max="10" width="14.6640625" bestFit="1" customWidth="1"/>
    <col min="11" max="11" width="13.6640625" bestFit="1" customWidth="1"/>
    <col min="12" max="12" width="14.33203125" bestFit="1" customWidth="1"/>
    <col min="13" max="13" width="12.33203125" bestFit="1" customWidth="1"/>
  </cols>
  <sheetData>
    <row r="1" spans="1:13" x14ac:dyDescent="0.3">
      <c r="B1" s="1" t="s">
        <v>19</v>
      </c>
    </row>
    <row r="2" spans="1:13" x14ac:dyDescent="0.3">
      <c r="B2" t="s">
        <v>20</v>
      </c>
    </row>
    <row r="3" spans="1:13" x14ac:dyDescent="0.3">
      <c r="B3" s="31">
        <f>+J3</f>
        <v>44621</v>
      </c>
      <c r="J3" s="29">
        <v>44621</v>
      </c>
    </row>
    <row r="4" spans="1:13" x14ac:dyDescent="0.3">
      <c r="B4" s="2"/>
    </row>
    <row r="5" spans="1:13" x14ac:dyDescent="0.3">
      <c r="B5" s="1"/>
      <c r="D5" s="50"/>
      <c r="E5" s="50"/>
      <c r="F5" s="50"/>
      <c r="G5" s="50"/>
      <c r="H5" s="50"/>
    </row>
    <row r="6" spans="1:13" s="3" customFormat="1" x14ac:dyDescent="0.3">
      <c r="B6" s="54" t="s">
        <v>38</v>
      </c>
      <c r="C6" s="51"/>
      <c r="D6" s="51"/>
      <c r="E6" s="51"/>
      <c r="F6" s="51"/>
      <c r="G6" s="51"/>
      <c r="H6" s="51"/>
    </row>
    <row r="7" spans="1:13" s="3" customFormat="1" x14ac:dyDescent="0.3">
      <c r="B7" s="1"/>
      <c r="C7" s="43"/>
      <c r="D7" s="52"/>
      <c r="E7" s="52"/>
      <c r="F7" s="52"/>
      <c r="G7" s="52"/>
      <c r="H7" s="53"/>
      <c r="I7" s="6"/>
      <c r="K7" s="7"/>
      <c r="L7" s="7"/>
      <c r="M7" s="7"/>
    </row>
    <row r="8" spans="1:13" s="3" customFormat="1" ht="28.8" x14ac:dyDescent="0.3">
      <c r="B8" s="1"/>
      <c r="C8" s="60" t="s">
        <v>42</v>
      </c>
      <c r="D8" s="56" t="s">
        <v>33</v>
      </c>
      <c r="E8" s="56" t="s">
        <v>34</v>
      </c>
      <c r="F8" s="56" t="s">
        <v>39</v>
      </c>
      <c r="G8" s="56" t="s">
        <v>40</v>
      </c>
      <c r="H8" s="57" t="s">
        <v>43</v>
      </c>
      <c r="I8" s="6"/>
      <c r="K8" s="7"/>
      <c r="L8" s="7"/>
      <c r="M8" s="7"/>
    </row>
    <row r="9" spans="1:13" s="3" customFormat="1" x14ac:dyDescent="0.3">
      <c r="A9" s="1">
        <v>1</v>
      </c>
      <c r="B9" s="1" t="s">
        <v>41</v>
      </c>
      <c r="C9" s="40"/>
      <c r="D9" s="6"/>
      <c r="E9" s="6"/>
      <c r="F9" s="6"/>
      <c r="G9" s="6"/>
      <c r="H9" s="30"/>
      <c r="I9" s="6"/>
      <c r="K9" s="7"/>
      <c r="L9" s="7"/>
      <c r="M9" s="7"/>
    </row>
    <row r="10" spans="1:13" s="3" customFormat="1" x14ac:dyDescent="0.3">
      <c r="A10" s="1"/>
      <c r="C10" s="61"/>
      <c r="D10" s="6"/>
      <c r="E10" s="6"/>
      <c r="F10" s="6"/>
      <c r="G10" s="6"/>
      <c r="H10" s="30"/>
      <c r="I10" s="6"/>
      <c r="K10" s="7"/>
      <c r="L10" s="7"/>
      <c r="M10" s="7"/>
    </row>
    <row r="11" spans="1:13" s="3" customFormat="1" x14ac:dyDescent="0.3">
      <c r="A11" s="1"/>
      <c r="B11" s="3" t="s">
        <v>21</v>
      </c>
      <c r="C11" s="61">
        <v>44616</v>
      </c>
      <c r="D11" s="6">
        <f>D62</f>
        <v>8.4596373879670898E-3</v>
      </c>
      <c r="E11" s="6">
        <v>-8.8909473203276912E-3</v>
      </c>
      <c r="F11" s="6">
        <f>E11</f>
        <v>-8.8909473203276912E-3</v>
      </c>
      <c r="G11" s="6" t="s">
        <v>27</v>
      </c>
      <c r="H11" s="30">
        <f t="shared" ref="H11:H13" si="0">E11</f>
        <v>-8.8909473203276912E-3</v>
      </c>
      <c r="I11" s="6" t="s">
        <v>36</v>
      </c>
      <c r="K11" s="36">
        <f>+H52</f>
        <v>0</v>
      </c>
      <c r="L11" s="34">
        <f>+D11-K11%</f>
        <v>8.4596373879670898E-3</v>
      </c>
      <c r="M11" s="7"/>
    </row>
    <row r="12" spans="1:13" s="3" customFormat="1" x14ac:dyDescent="0.3">
      <c r="A12" s="1"/>
      <c r="C12" s="61"/>
      <c r="D12" s="6"/>
      <c r="E12" s="6"/>
      <c r="F12" s="6"/>
      <c r="G12" s="6"/>
      <c r="H12" s="30"/>
      <c r="I12" s="6"/>
      <c r="K12" s="36"/>
      <c r="L12" s="34"/>
      <c r="M12" s="7"/>
    </row>
    <row r="13" spans="1:13" s="3" customFormat="1" x14ac:dyDescent="0.3">
      <c r="A13" s="1"/>
      <c r="B13" s="8"/>
      <c r="C13" s="61"/>
      <c r="D13" s="6"/>
      <c r="E13" s="6"/>
      <c r="F13" s="6"/>
      <c r="G13" s="6"/>
      <c r="H13" s="30"/>
      <c r="I13" s="6"/>
      <c r="J13" s="48"/>
    </row>
    <row r="14" spans="1:13" s="3" customFormat="1" x14ac:dyDescent="0.3">
      <c r="A14" s="1"/>
      <c r="B14" s="45" t="s">
        <v>16</v>
      </c>
      <c r="C14" s="43"/>
      <c r="D14" s="6"/>
      <c r="E14" s="9"/>
      <c r="F14" s="9"/>
      <c r="G14" s="9"/>
      <c r="H14" s="6"/>
    </row>
    <row r="15" spans="1:13" s="3" customFormat="1" x14ac:dyDescent="0.3">
      <c r="A15" s="1">
        <v>2</v>
      </c>
      <c r="B15" s="1" t="s">
        <v>35</v>
      </c>
      <c r="C15" s="55" t="s">
        <v>13</v>
      </c>
      <c r="D15" s="6"/>
      <c r="E15" s="6"/>
      <c r="F15" s="6"/>
      <c r="G15" s="6"/>
      <c r="H15" s="30"/>
      <c r="I15" s="6"/>
      <c r="K15" s="7"/>
      <c r="L15" s="7"/>
      <c r="M15" s="7"/>
    </row>
    <row r="16" spans="1:13" s="3" customFormat="1" x14ac:dyDescent="0.3">
      <c r="A16" s="1"/>
      <c r="C16" s="40"/>
      <c r="D16" s="6"/>
      <c r="E16" s="6"/>
      <c r="F16" s="6"/>
      <c r="G16" s="6"/>
      <c r="H16" s="30"/>
      <c r="I16" s="6"/>
      <c r="K16" s="7"/>
      <c r="L16" s="7"/>
      <c r="M16" s="7"/>
    </row>
    <row r="17" spans="1:13" s="3" customFormat="1" x14ac:dyDescent="0.3">
      <c r="A17" s="1"/>
      <c r="B17" s="3" t="s">
        <v>21</v>
      </c>
      <c r="C17" s="40">
        <f>D59</f>
        <v>27094646.109999999</v>
      </c>
      <c r="D17" s="6">
        <f>D61</f>
        <v>7.9487020941165394E-3</v>
      </c>
      <c r="E17" s="30">
        <v>-9.4098152942513336E-3</v>
      </c>
      <c r="F17" s="6">
        <f>E17</f>
        <v>-9.4098152942513336E-3</v>
      </c>
      <c r="G17" s="6" t="s">
        <v>27</v>
      </c>
      <c r="H17" s="30">
        <f t="shared" ref="H17:H19" si="1">E17</f>
        <v>-9.4098152942513336E-3</v>
      </c>
      <c r="I17" s="6" t="s">
        <v>36</v>
      </c>
      <c r="K17" s="36"/>
      <c r="L17" s="34"/>
      <c r="M17" s="7"/>
    </row>
    <row r="18" spans="1:13" s="3" customFormat="1" x14ac:dyDescent="0.3">
      <c r="A18" s="1"/>
      <c r="C18" s="40"/>
      <c r="D18" s="6"/>
      <c r="E18" s="6"/>
      <c r="F18" s="6"/>
      <c r="G18" s="6"/>
      <c r="H18" s="30"/>
      <c r="I18" s="6"/>
      <c r="K18" s="36"/>
      <c r="L18" s="34"/>
      <c r="M18" s="7"/>
    </row>
    <row r="19" spans="1:13" s="3" customFormat="1" x14ac:dyDescent="0.3">
      <c r="A19" s="1"/>
      <c r="B19" s="8"/>
      <c r="C19" s="44"/>
      <c r="D19" s="6"/>
      <c r="E19" s="6"/>
      <c r="F19" s="6"/>
      <c r="G19" s="6"/>
      <c r="H19" s="30"/>
      <c r="I19" s="6"/>
      <c r="J19" s="48"/>
    </row>
    <row r="20" spans="1:13" s="3" customFormat="1" x14ac:dyDescent="0.3">
      <c r="A20" s="1"/>
      <c r="B20" s="45" t="s">
        <v>16</v>
      </c>
      <c r="C20" s="43">
        <f>SUM(C16:C19)</f>
        <v>27094646.109999999</v>
      </c>
      <c r="D20" s="6"/>
      <c r="E20" s="9"/>
      <c r="F20" s="9"/>
      <c r="G20" s="9"/>
      <c r="H20" s="6"/>
    </row>
    <row r="21" spans="1:13" s="3" customFormat="1" x14ac:dyDescent="0.3">
      <c r="A21" s="1"/>
      <c r="B21" s="8"/>
      <c r="C21" s="40"/>
      <c r="D21" s="9"/>
      <c r="E21" s="9"/>
      <c r="F21" s="9"/>
      <c r="G21" s="9"/>
      <c r="H21" s="6"/>
    </row>
    <row r="22" spans="1:13" s="3" customFormat="1" x14ac:dyDescent="0.3">
      <c r="A22" s="1">
        <v>3</v>
      </c>
      <c r="B22" s="1" t="s">
        <v>37</v>
      </c>
      <c r="C22" s="43" t="s">
        <v>26</v>
      </c>
      <c r="D22" s="9"/>
      <c r="E22" s="9"/>
      <c r="F22" s="9"/>
      <c r="G22" s="9"/>
      <c r="H22" s="6"/>
      <c r="J22" s="58"/>
      <c r="K22" s="58"/>
    </row>
    <row r="23" spans="1:13" s="3" customFormat="1" x14ac:dyDescent="0.3">
      <c r="A23" s="1"/>
      <c r="C23" s="40"/>
      <c r="D23" s="6"/>
      <c r="E23" s="6"/>
      <c r="F23" s="6"/>
      <c r="G23" s="6"/>
      <c r="H23" s="30"/>
      <c r="J23" s="7"/>
      <c r="K23" s="7"/>
    </row>
    <row r="24" spans="1:13" s="3" customFormat="1" x14ac:dyDescent="0.3">
      <c r="B24" s="3" t="s">
        <v>36</v>
      </c>
      <c r="C24" s="40" t="s">
        <v>22</v>
      </c>
      <c r="D24" s="6">
        <v>2.8E-3</v>
      </c>
      <c r="E24" s="6"/>
      <c r="F24" s="6"/>
      <c r="G24" s="6"/>
      <c r="H24" s="30"/>
      <c r="J24" s="7"/>
      <c r="K24" s="7"/>
    </row>
    <row r="25" spans="1:13" s="3" customFormat="1" x14ac:dyDescent="0.3">
      <c r="C25" s="40"/>
      <c r="D25" s="6"/>
      <c r="E25" s="6"/>
      <c r="F25" s="6"/>
      <c r="G25" s="6"/>
      <c r="H25" s="30"/>
      <c r="J25" s="7"/>
      <c r="K25" s="7"/>
    </row>
    <row r="26" spans="1:13" s="3" customFormat="1" x14ac:dyDescent="0.3">
      <c r="B26" s="8"/>
      <c r="C26" s="49"/>
      <c r="D26" s="6"/>
      <c r="E26" s="6"/>
      <c r="F26" s="6"/>
      <c r="G26" s="6"/>
      <c r="H26" s="6"/>
      <c r="J26" s="7"/>
      <c r="K26" s="7"/>
    </row>
    <row r="27" spans="1:13" s="3" customFormat="1" x14ac:dyDescent="0.3">
      <c r="B27" s="8"/>
      <c r="C27" s="49"/>
      <c r="D27" s="6"/>
      <c r="E27" s="6"/>
      <c r="F27" s="6"/>
      <c r="G27" s="6"/>
      <c r="H27" s="6"/>
    </row>
    <row r="28" spans="1:13" s="3" customFormat="1" x14ac:dyDescent="0.3">
      <c r="B28" s="8"/>
      <c r="C28" s="49"/>
      <c r="D28" s="6"/>
      <c r="E28" s="6"/>
      <c r="F28" s="6"/>
      <c r="G28" s="6"/>
      <c r="H28" s="6"/>
    </row>
    <row r="29" spans="1:13" s="3" customFormat="1" x14ac:dyDescent="0.3">
      <c r="B29" s="63" t="s">
        <v>45</v>
      </c>
      <c r="C29" s="49"/>
      <c r="D29" s="6"/>
      <c r="E29" s="6"/>
      <c r="F29" s="6"/>
      <c r="G29" s="6"/>
      <c r="H29" s="6"/>
    </row>
    <row r="30" spans="1:13" s="3" customFormat="1" x14ac:dyDescent="0.3">
      <c r="B30" s="8" t="s">
        <v>44</v>
      </c>
      <c r="C30" s="49"/>
      <c r="D30" s="6"/>
      <c r="E30" s="6"/>
      <c r="F30" s="6"/>
      <c r="G30" s="6"/>
      <c r="H30" s="6"/>
    </row>
    <row r="31" spans="1:13" s="3" customFormat="1" x14ac:dyDescent="0.3">
      <c r="B31" s="8"/>
      <c r="C31" s="49"/>
      <c r="D31" s="6"/>
      <c r="E31" s="6"/>
      <c r="F31" s="6"/>
      <c r="G31" s="6"/>
      <c r="H31" s="6"/>
    </row>
    <row r="32" spans="1:13" s="3" customFormat="1" x14ac:dyDescent="0.3">
      <c r="B32" s="8"/>
      <c r="C32" s="49"/>
      <c r="D32" s="6"/>
      <c r="E32" s="6"/>
      <c r="F32" s="6"/>
      <c r="G32" s="6"/>
      <c r="H32" s="6"/>
    </row>
    <row r="33" spans="2:13" s="3" customFormat="1" x14ac:dyDescent="0.3">
      <c r="B33" s="8"/>
      <c r="C33" s="49"/>
      <c r="D33" s="6"/>
      <c r="E33" s="6"/>
      <c r="F33" s="6"/>
      <c r="G33" s="6"/>
      <c r="H33" s="6"/>
    </row>
    <row r="34" spans="2:13" s="3" customFormat="1" x14ac:dyDescent="0.3"/>
    <row r="35" spans="2:13" s="3" customFormat="1" x14ac:dyDescent="0.3">
      <c r="B35" s="4" t="s">
        <v>25</v>
      </c>
      <c r="C35" s="5"/>
      <c r="D35" s="5"/>
      <c r="E35" s="5"/>
      <c r="F35" s="5"/>
      <c r="G35" s="5"/>
      <c r="H35" s="5" t="s">
        <v>14</v>
      </c>
    </row>
    <row r="36" spans="2:13" s="3" customFormat="1" x14ac:dyDescent="0.3">
      <c r="B36" s="3" t="s">
        <v>28</v>
      </c>
      <c r="H36" s="28">
        <v>238739000</v>
      </c>
    </row>
    <row r="37" spans="2:13" s="3" customFormat="1" x14ac:dyDescent="0.3">
      <c r="H37" s="28"/>
    </row>
    <row r="38" spans="2:13" s="3" customFormat="1" x14ac:dyDescent="0.3">
      <c r="B38" s="3" t="s">
        <v>29</v>
      </c>
      <c r="H38" s="42" t="s">
        <v>30</v>
      </c>
    </row>
    <row r="39" spans="2:13" s="3" customFormat="1" x14ac:dyDescent="0.3">
      <c r="B39" s="3" t="s">
        <v>31</v>
      </c>
      <c r="H39" s="62">
        <v>6</v>
      </c>
      <c r="I39"/>
    </row>
    <row r="40" spans="2:13" s="3" customFormat="1" x14ac:dyDescent="0.3">
      <c r="B40" s="3" t="s">
        <v>32</v>
      </c>
      <c r="H40" s="42" t="s">
        <v>30</v>
      </c>
      <c r="I40"/>
    </row>
    <row r="41" spans="2:13" s="3" customFormat="1" x14ac:dyDescent="0.3">
      <c r="H41" s="28"/>
      <c r="I41" s="39"/>
    </row>
    <row r="42" spans="2:13" s="3" customFormat="1" x14ac:dyDescent="0.3">
      <c r="I42"/>
    </row>
    <row r="43" spans="2:13" s="3" customFormat="1" x14ac:dyDescent="0.3">
      <c r="I43"/>
    </row>
    <row r="44" spans="2:13" s="3" customFormat="1" x14ac:dyDescent="0.3">
      <c r="B44" s="137" t="s">
        <v>17</v>
      </c>
      <c r="C44" s="137"/>
      <c r="D44" s="137"/>
      <c r="E44" s="137"/>
      <c r="F44" s="137"/>
      <c r="G44" s="137"/>
      <c r="H44" s="137"/>
      <c r="I44"/>
    </row>
    <row r="45" spans="2:13" s="3" customFormat="1" x14ac:dyDescent="0.3">
      <c r="B45" s="10"/>
      <c r="C45" s="11"/>
      <c r="D45" s="11"/>
      <c r="E45" s="11"/>
      <c r="F45" s="11"/>
      <c r="G45" s="11"/>
      <c r="H45" s="10"/>
      <c r="I45"/>
    </row>
    <row r="46" spans="2:13" s="3" customFormat="1" x14ac:dyDescent="0.3">
      <c r="B46" s="12" t="s">
        <v>1</v>
      </c>
      <c r="C46" s="13"/>
      <c r="D46" s="13" t="s">
        <v>22</v>
      </c>
      <c r="E46" s="13"/>
      <c r="F46" s="13"/>
      <c r="G46" s="13"/>
      <c r="H46" s="13" t="s">
        <v>16</v>
      </c>
      <c r="I46"/>
    </row>
    <row r="47" spans="2:13" s="3" customFormat="1" x14ac:dyDescent="0.3">
      <c r="B47" s="14" t="s">
        <v>2</v>
      </c>
      <c r="C47" s="15"/>
      <c r="D47" s="15">
        <v>26880977.23</v>
      </c>
      <c r="E47" s="15"/>
      <c r="F47" s="15"/>
      <c r="G47" s="15"/>
      <c r="H47" s="15">
        <f>SUM(C47:F47)</f>
        <v>26880977.23</v>
      </c>
      <c r="I47"/>
      <c r="J47" s="27" t="e">
        <f>#REF!</f>
        <v>#REF!</v>
      </c>
      <c r="K47" s="37" t="e">
        <f>J47/C47</f>
        <v>#REF!</v>
      </c>
      <c r="L47" s="27" t="e">
        <f>J47-C47</f>
        <v>#REF!</v>
      </c>
      <c r="M47" s="28"/>
    </row>
    <row r="48" spans="2:13" s="3" customFormat="1" x14ac:dyDescent="0.3">
      <c r="B48" s="16" t="s">
        <v>3</v>
      </c>
      <c r="C48" s="17"/>
      <c r="D48" s="17">
        <v>0</v>
      </c>
      <c r="E48" s="17"/>
      <c r="F48" s="17"/>
      <c r="G48" s="17"/>
      <c r="H48" s="15">
        <f>SUM(C48:F48)</f>
        <v>0</v>
      </c>
      <c r="I48"/>
    </row>
    <row r="49" spans="2:11" s="3" customFormat="1" x14ac:dyDescent="0.3">
      <c r="B49" s="16" t="s">
        <v>4</v>
      </c>
      <c r="C49" s="15"/>
      <c r="D49" s="15"/>
      <c r="E49" s="15"/>
      <c r="F49" s="15"/>
      <c r="G49" s="15"/>
      <c r="H49" s="15">
        <f>SUM(C49:F49)</f>
        <v>0</v>
      </c>
      <c r="I49"/>
    </row>
    <row r="50" spans="2:11" s="3" customFormat="1" x14ac:dyDescent="0.3">
      <c r="B50" s="14" t="s">
        <v>5</v>
      </c>
      <c r="C50" s="17"/>
      <c r="D50" s="17"/>
      <c r="E50" s="17"/>
      <c r="F50" s="17"/>
      <c r="G50" s="17"/>
      <c r="H50" s="17"/>
      <c r="I50"/>
    </row>
    <row r="51" spans="2:11" s="3" customFormat="1" ht="16.2" x14ac:dyDescent="0.3">
      <c r="B51" s="18" t="s">
        <v>6</v>
      </c>
      <c r="C51" s="19"/>
      <c r="D51" s="19">
        <f>+D52+D53</f>
        <v>-13734.44</v>
      </c>
      <c r="E51" s="19"/>
      <c r="F51" s="19"/>
      <c r="G51" s="19"/>
      <c r="H51" s="20"/>
      <c r="I51"/>
      <c r="J51"/>
      <c r="K51"/>
    </row>
    <row r="52" spans="2:11" s="3" customFormat="1" x14ac:dyDescent="0.3">
      <c r="B52" s="21" t="s">
        <v>7</v>
      </c>
      <c r="C52" s="17"/>
      <c r="D52" s="17">
        <v>-13734.44</v>
      </c>
      <c r="E52" s="17"/>
      <c r="F52" s="17"/>
      <c r="G52" s="17"/>
      <c r="H52" s="22"/>
      <c r="I52"/>
      <c r="J52"/>
      <c r="K52"/>
    </row>
    <row r="53" spans="2:11" s="3" customFormat="1" x14ac:dyDescent="0.3">
      <c r="B53" s="21" t="s">
        <v>8</v>
      </c>
      <c r="C53" s="17"/>
      <c r="D53" s="17">
        <v>0</v>
      </c>
      <c r="E53" s="17"/>
      <c r="F53" s="17"/>
      <c r="G53" s="17"/>
      <c r="H53" s="22"/>
      <c r="I53"/>
      <c r="J53"/>
      <c r="K53"/>
    </row>
    <row r="54" spans="2:11" s="3" customFormat="1" x14ac:dyDescent="0.3">
      <c r="B54" s="21"/>
      <c r="C54" s="17"/>
      <c r="D54" s="17"/>
      <c r="E54" s="17"/>
      <c r="F54" s="17"/>
      <c r="G54" s="17"/>
      <c r="H54" s="22"/>
      <c r="I54"/>
      <c r="J54"/>
      <c r="K54"/>
    </row>
    <row r="55" spans="2:11" s="3" customFormat="1" ht="16.2" x14ac:dyDescent="0.3">
      <c r="B55" s="18" t="s">
        <v>9</v>
      </c>
      <c r="C55" s="19"/>
      <c r="D55" s="19">
        <f>SUM(D56:D57)</f>
        <v>227403.32</v>
      </c>
      <c r="E55" s="19"/>
      <c r="F55" s="19"/>
      <c r="G55" s="19"/>
      <c r="H55" s="20"/>
      <c r="I55"/>
      <c r="J55"/>
      <c r="K55"/>
    </row>
    <row r="56" spans="2:11" s="3" customFormat="1" x14ac:dyDescent="0.3">
      <c r="B56" s="21" t="s">
        <v>23</v>
      </c>
      <c r="C56" s="17"/>
      <c r="D56" s="17">
        <f>99693.26-4558.15</f>
        <v>95135.11</v>
      </c>
      <c r="E56" s="17"/>
      <c r="F56" s="17"/>
      <c r="G56" s="17"/>
      <c r="H56" s="22"/>
      <c r="I56"/>
      <c r="J56" t="s">
        <v>18</v>
      </c>
      <c r="K56" t="e">
        <f>SUMIFS(#REF!,#REF!,J56)</f>
        <v>#REF!</v>
      </c>
    </row>
    <row r="57" spans="2:11" s="3" customFormat="1" ht="28.8" x14ac:dyDescent="0.45">
      <c r="B57" s="46" t="s">
        <v>10</v>
      </c>
      <c r="C57" s="47"/>
      <c r="D57" s="47">
        <v>132268.21</v>
      </c>
      <c r="E57" s="47"/>
      <c r="F57" s="47"/>
      <c r="G57" s="47"/>
      <c r="H57" s="23"/>
      <c r="I57" s="32"/>
      <c r="J57" s="33" t="s">
        <v>15</v>
      </c>
      <c r="K57" s="33"/>
    </row>
    <row r="58" spans="2:11" s="3" customFormat="1" x14ac:dyDescent="0.3">
      <c r="B58" s="24" t="s">
        <v>11</v>
      </c>
      <c r="C58" s="15"/>
      <c r="D58" s="15">
        <f>+D51+D55</f>
        <v>213668.88</v>
      </c>
      <c r="E58" s="15"/>
      <c r="F58" s="15"/>
      <c r="G58" s="15"/>
      <c r="H58" s="15">
        <f>SUM(C58:F58)</f>
        <v>213668.88</v>
      </c>
      <c r="I58"/>
      <c r="J58" s="27" t="e">
        <f>#REF!</f>
        <v>#REF!</v>
      </c>
      <c r="K58" s="32" t="e">
        <f>+C58-J58</f>
        <v>#REF!</v>
      </c>
    </row>
    <row r="59" spans="2:11" s="3" customFormat="1" x14ac:dyDescent="0.3">
      <c r="B59" s="24" t="s">
        <v>12</v>
      </c>
      <c r="C59" s="15"/>
      <c r="D59" s="15">
        <f>D47+D48-D49+D58</f>
        <v>27094646.109999999</v>
      </c>
      <c r="E59" s="15"/>
      <c r="F59" s="15"/>
      <c r="G59" s="15"/>
      <c r="H59" s="15">
        <f>SUM(C59:F59)</f>
        <v>27094646.109999999</v>
      </c>
      <c r="I59" s="27"/>
      <c r="J59" s="27" t="e">
        <f>#REF!</f>
        <v>#REF!</v>
      </c>
      <c r="K59" s="32" t="e">
        <f>+C59-J59</f>
        <v>#REF!</v>
      </c>
    </row>
    <row r="60" spans="2:11" s="3" customFormat="1" x14ac:dyDescent="0.3">
      <c r="B60" s="24"/>
      <c r="C60" s="15"/>
      <c r="D60" s="15"/>
      <c r="E60" s="15"/>
      <c r="F60" s="15"/>
      <c r="G60" s="15"/>
      <c r="H60" s="25"/>
      <c r="I60" s="27"/>
      <c r="J60" s="27"/>
      <c r="K60" s="32"/>
    </row>
    <row r="61" spans="2:11" s="3" customFormat="1" x14ac:dyDescent="0.3">
      <c r="B61" s="21" t="s">
        <v>0</v>
      </c>
      <c r="C61" s="26"/>
      <c r="D61" s="26">
        <f>(D58)/(D47+D48+D49)</f>
        <v>7.9487020941165394E-3</v>
      </c>
      <c r="E61" s="26"/>
      <c r="F61" s="26"/>
      <c r="G61" s="26"/>
      <c r="H61" s="22"/>
      <c r="I61"/>
      <c r="J61" s="38"/>
      <c r="K61" s="7" t="e">
        <f>J61/C47</f>
        <v>#DIV/0!</v>
      </c>
    </row>
    <row r="62" spans="2:11" s="3" customFormat="1" x14ac:dyDescent="0.3">
      <c r="B62" s="21" t="s">
        <v>24</v>
      </c>
      <c r="C62" s="26"/>
      <c r="D62" s="26">
        <f>(D58-D52)/(D47+D48+D49)</f>
        <v>8.4596373879670898E-3</v>
      </c>
      <c r="E62" s="26"/>
      <c r="F62" s="26"/>
      <c r="G62" s="26"/>
      <c r="H62" s="22"/>
      <c r="I62"/>
      <c r="J62"/>
      <c r="K62"/>
    </row>
    <row r="63" spans="2:11" s="3" customFormat="1" x14ac:dyDescent="0.3">
      <c r="I63"/>
      <c r="J63"/>
      <c r="K63"/>
    </row>
  </sheetData>
  <mergeCells count="1">
    <mergeCell ref="B44:H44"/>
  </mergeCells>
  <pageMargins left="0.7" right="0.7" top="0.75" bottom="0.75" header="0.3" footer="0.3"/>
  <pageSetup scale="67" orientation="portrait" horizontalDpi="1200" verticalDpi="1200" r:id="rId1"/>
  <colBreaks count="1" manualBreakCount="1">
    <brk id="8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4488-191D-481E-BDCB-C56F1A37684A}">
  <sheetPr>
    <tabColor rgb="FFFFFF00"/>
  </sheetPr>
  <dimension ref="A1"/>
  <sheetViews>
    <sheetView workbookViewId="0">
      <selection activeCell="D19" sqref="D19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97CC1-5733-4CD0-8AE5-D5E02C0B7EF4}">
  <sheetPr>
    <pageSetUpPr fitToPage="1"/>
  </sheetPr>
  <dimension ref="B1:R89"/>
  <sheetViews>
    <sheetView showGridLines="0" topLeftCell="A13" zoomScale="70" zoomScaleNormal="70" zoomScaleSheetLayoutView="85" workbookViewId="0">
      <selection activeCell="D60" sqref="D60"/>
    </sheetView>
  </sheetViews>
  <sheetFormatPr defaultRowHeight="14.4" x14ac:dyDescent="0.3"/>
  <cols>
    <col min="1" max="1" width="4.88671875" style="3" customWidth="1"/>
    <col min="2" max="2" width="40.77734375" style="3" customWidth="1"/>
    <col min="3" max="3" width="15.33203125" style="3" bestFit="1" customWidth="1"/>
    <col min="4" max="4" width="30.44140625" style="3" bestFit="1" customWidth="1"/>
    <col min="5" max="5" width="15" style="3" customWidth="1"/>
    <col min="6" max="6" width="17.5546875" style="3" customWidth="1"/>
    <col min="7" max="7" width="13.77734375" style="42" bestFit="1" customWidth="1"/>
    <col min="8" max="8" width="14" style="67" customWidth="1"/>
    <col min="9" max="9" width="17.21875" style="35" customWidth="1"/>
    <col min="10" max="10" width="9.109375" style="7" bestFit="1" customWidth="1"/>
    <col min="11" max="12" width="8.88671875" style="3"/>
    <col min="13" max="13" width="14.21875" style="3" bestFit="1" customWidth="1"/>
    <col min="14" max="16384" width="8.88671875" style="3"/>
  </cols>
  <sheetData>
    <row r="1" spans="2:11" s="113" customFormat="1" ht="18" x14ac:dyDescent="0.35">
      <c r="B1" s="112" t="s">
        <v>19</v>
      </c>
      <c r="G1" s="114"/>
      <c r="H1" s="115"/>
      <c r="I1" s="116"/>
      <c r="J1" s="119"/>
    </row>
    <row r="2" spans="2:11" s="113" customFormat="1" ht="18" x14ac:dyDescent="0.35">
      <c r="B2" s="113" t="s">
        <v>20</v>
      </c>
      <c r="G2" s="114"/>
      <c r="H2" s="115"/>
      <c r="I2" s="116"/>
      <c r="J2" s="119"/>
    </row>
    <row r="3" spans="2:11" s="113" customFormat="1" ht="18" x14ac:dyDescent="0.35">
      <c r="B3" s="117">
        <f>Output!B3</f>
        <v>44621</v>
      </c>
      <c r="D3" s="136"/>
      <c r="E3" s="112"/>
      <c r="G3" s="114"/>
      <c r="H3" s="115"/>
      <c r="I3" s="116"/>
      <c r="J3" s="119"/>
    </row>
    <row r="4" spans="2:11" s="113" customFormat="1" ht="18" x14ac:dyDescent="0.35">
      <c r="B4" s="117"/>
      <c r="D4" s="136"/>
      <c r="E4" s="112"/>
      <c r="G4" s="114"/>
      <c r="H4" s="115"/>
      <c r="I4" s="116"/>
      <c r="J4" s="119"/>
    </row>
    <row r="5" spans="2:11" s="113" customFormat="1" ht="18" x14ac:dyDescent="0.35">
      <c r="B5" s="136" t="s">
        <v>203</v>
      </c>
      <c r="C5" s="112" t="s">
        <v>21</v>
      </c>
      <c r="G5" s="114"/>
      <c r="H5" s="115"/>
      <c r="I5" s="116"/>
      <c r="J5" s="119"/>
    </row>
    <row r="6" spans="2:11" s="113" customFormat="1" ht="18" x14ac:dyDescent="0.35">
      <c r="B6" s="112" t="s">
        <v>121</v>
      </c>
      <c r="C6" s="112"/>
      <c r="D6" s="112"/>
      <c r="G6" s="114"/>
      <c r="H6" s="115"/>
      <c r="I6" s="116"/>
      <c r="J6" s="119"/>
    </row>
    <row r="7" spans="2:11" x14ac:dyDescent="0.3">
      <c r="C7" s="1"/>
      <c r="D7" s="1"/>
    </row>
    <row r="9" spans="2:11" s="59" customFormat="1" ht="33" customHeight="1" x14ac:dyDescent="0.3">
      <c r="B9" s="129" t="s">
        <v>46</v>
      </c>
      <c r="C9" s="129" t="s">
        <v>180</v>
      </c>
      <c r="D9" s="129" t="s">
        <v>183</v>
      </c>
      <c r="E9" s="135" t="s">
        <v>47</v>
      </c>
      <c r="F9" s="130" t="s">
        <v>48</v>
      </c>
      <c r="G9" s="131" t="s">
        <v>49</v>
      </c>
      <c r="H9" s="132" t="s">
        <v>50</v>
      </c>
      <c r="I9" s="134" t="s">
        <v>51</v>
      </c>
      <c r="J9" s="133" t="s">
        <v>182</v>
      </c>
    </row>
    <row r="10" spans="2:11" x14ac:dyDescent="0.3">
      <c r="B10" s="71"/>
      <c r="C10" s="71"/>
      <c r="D10" s="71"/>
      <c r="E10" s="72"/>
      <c r="F10" s="72"/>
      <c r="G10" s="73"/>
      <c r="H10" s="74"/>
      <c r="I10" s="75"/>
      <c r="J10" s="120"/>
    </row>
    <row r="11" spans="2:11" x14ac:dyDescent="0.3">
      <c r="B11" s="118" t="s">
        <v>117</v>
      </c>
      <c r="C11" s="71"/>
      <c r="D11" s="71"/>
      <c r="E11" s="72"/>
      <c r="F11" s="72"/>
      <c r="G11" s="73"/>
      <c r="H11" s="74"/>
      <c r="I11" s="75"/>
      <c r="J11" s="120"/>
    </row>
    <row r="12" spans="2:11" x14ac:dyDescent="0.3">
      <c r="B12" s="76" t="s">
        <v>60</v>
      </c>
      <c r="C12" s="76"/>
      <c r="D12" s="76" t="s">
        <v>202</v>
      </c>
      <c r="E12" s="77">
        <v>743609.01</v>
      </c>
      <c r="F12" s="78">
        <v>743609.01</v>
      </c>
      <c r="G12" s="79" t="s">
        <v>53</v>
      </c>
      <c r="H12" s="80">
        <v>100</v>
      </c>
      <c r="I12" s="81">
        <v>743609.01</v>
      </c>
      <c r="J12" s="121">
        <f>I12/$I$82</f>
        <v>2.7444868885943909E-2</v>
      </c>
      <c r="K12" s="76"/>
    </row>
    <row r="13" spans="2:11" x14ac:dyDescent="0.3">
      <c r="B13" s="76" t="s">
        <v>127</v>
      </c>
      <c r="C13" s="76"/>
      <c r="D13" s="76" t="s">
        <v>184</v>
      </c>
      <c r="E13" s="77">
        <v>48376.639999999999</v>
      </c>
      <c r="F13" s="78">
        <v>36386.86</v>
      </c>
      <c r="G13" s="79" t="s">
        <v>81</v>
      </c>
      <c r="H13" s="80">
        <v>0.75095000000000001</v>
      </c>
      <c r="I13" s="81">
        <v>36328.43</v>
      </c>
      <c r="J13" s="121">
        <f t="shared" ref="J13:J14" si="0">I13/$I$82</f>
        <v>1.3407973609440144E-3</v>
      </c>
      <c r="K13" s="76"/>
    </row>
    <row r="14" spans="2:11" x14ac:dyDescent="0.3">
      <c r="B14" s="76" t="s">
        <v>127</v>
      </c>
      <c r="C14" s="76"/>
      <c r="D14" s="76" t="s">
        <v>187</v>
      </c>
      <c r="E14" s="77">
        <v>13353.4</v>
      </c>
      <c r="F14" s="78">
        <v>14300.83</v>
      </c>
      <c r="G14" s="79" t="s">
        <v>87</v>
      </c>
      <c r="H14" s="80">
        <v>1.0866610000000001</v>
      </c>
      <c r="I14" s="81">
        <v>14510.62</v>
      </c>
      <c r="J14" s="121">
        <f t="shared" si="0"/>
        <v>5.3555303660690634E-4</v>
      </c>
      <c r="K14" s="76"/>
    </row>
    <row r="15" spans="2:11" x14ac:dyDescent="0.3">
      <c r="B15" s="82"/>
      <c r="C15" s="82"/>
      <c r="D15" s="82"/>
      <c r="E15" s="83"/>
      <c r="F15" s="83"/>
      <c r="G15" s="84"/>
      <c r="H15" s="85"/>
      <c r="I15" s="86"/>
      <c r="J15" s="122"/>
    </row>
    <row r="16" spans="2:11" x14ac:dyDescent="0.3">
      <c r="B16" s="71" t="s">
        <v>120</v>
      </c>
      <c r="C16" s="71"/>
      <c r="D16" s="71"/>
      <c r="E16" s="72"/>
      <c r="F16" s="87">
        <f>SUM(F12:F15)</f>
        <v>794296.7</v>
      </c>
      <c r="G16" s="73"/>
      <c r="H16" s="74"/>
      <c r="I16" s="75">
        <f>SUM(I12:I15)</f>
        <v>794448.06</v>
      </c>
      <c r="J16" s="120">
        <f>SUM(J12:J15)</f>
        <v>2.9321219283494831E-2</v>
      </c>
    </row>
    <row r="17" spans="2:11" x14ac:dyDescent="0.3">
      <c r="B17" s="71"/>
      <c r="C17" s="71"/>
      <c r="D17" s="71"/>
      <c r="E17" s="72"/>
      <c r="F17" s="72"/>
      <c r="G17" s="73"/>
      <c r="H17" s="74"/>
      <c r="I17" s="75"/>
      <c r="J17" s="120"/>
    </row>
    <row r="18" spans="2:11" x14ac:dyDescent="0.3">
      <c r="B18" s="118" t="s">
        <v>123</v>
      </c>
      <c r="C18" s="71"/>
      <c r="D18" s="71"/>
      <c r="E18" s="72"/>
      <c r="F18" s="72"/>
      <c r="G18" s="73"/>
      <c r="H18" s="74"/>
      <c r="I18" s="75"/>
      <c r="J18" s="120"/>
    </row>
    <row r="19" spans="2:11" x14ac:dyDescent="0.3">
      <c r="B19" s="76" t="s">
        <v>124</v>
      </c>
      <c r="C19" s="76"/>
      <c r="D19" s="76"/>
      <c r="E19" s="77"/>
      <c r="F19" s="78"/>
      <c r="G19" s="79" t="s">
        <v>53</v>
      </c>
      <c r="H19" s="80">
        <v>1</v>
      </c>
      <c r="I19" s="81">
        <v>137.75</v>
      </c>
      <c r="J19" s="121">
        <f t="shared" ref="J19:J23" si="1">I19/$I$82</f>
        <v>5.0840302338977489E-6</v>
      </c>
      <c r="K19" s="76"/>
    </row>
    <row r="20" spans="2:11" x14ac:dyDescent="0.3">
      <c r="B20" s="76" t="s">
        <v>125</v>
      </c>
      <c r="C20" s="76"/>
      <c r="D20" s="76"/>
      <c r="E20" s="77"/>
      <c r="F20" s="78"/>
      <c r="G20" s="79" t="s">
        <v>53</v>
      </c>
      <c r="H20" s="80">
        <v>1</v>
      </c>
      <c r="I20" s="81">
        <v>72650.06</v>
      </c>
      <c r="J20" s="121">
        <f t="shared" si="1"/>
        <v>2.6813437497966277E-3</v>
      </c>
      <c r="K20" s="76"/>
    </row>
    <row r="21" spans="2:11" x14ac:dyDescent="0.3">
      <c r="B21" s="76" t="s">
        <v>126</v>
      </c>
      <c r="C21" s="76"/>
      <c r="D21" s="76"/>
      <c r="E21" s="77"/>
      <c r="F21" s="78"/>
      <c r="G21" s="79" t="s">
        <v>53</v>
      </c>
      <c r="H21" s="80">
        <v>1</v>
      </c>
      <c r="I21" s="81">
        <v>7689.33</v>
      </c>
      <c r="J21" s="121">
        <f t="shared" si="1"/>
        <v>2.8379518111373484E-4</v>
      </c>
      <c r="K21" s="76"/>
    </row>
    <row r="22" spans="2:11" x14ac:dyDescent="0.3">
      <c r="B22" s="76" t="s">
        <v>128</v>
      </c>
      <c r="C22" s="76"/>
      <c r="D22" s="76"/>
      <c r="E22" s="72"/>
      <c r="F22" s="72"/>
      <c r="G22" s="79" t="s">
        <v>53</v>
      </c>
      <c r="H22" s="80">
        <v>1</v>
      </c>
      <c r="I22" s="81">
        <v>-14188.25</v>
      </c>
      <c r="J22" s="121">
        <f t="shared" si="1"/>
        <v>-5.2365511409146808E-4</v>
      </c>
    </row>
    <row r="23" spans="2:11" x14ac:dyDescent="0.3">
      <c r="B23" s="82" t="s">
        <v>181</v>
      </c>
      <c r="C23" s="82"/>
      <c r="D23" s="82"/>
      <c r="E23" s="88"/>
      <c r="F23" s="88"/>
      <c r="G23" s="89" t="s">
        <v>53</v>
      </c>
      <c r="H23" s="90">
        <v>1</v>
      </c>
      <c r="I23" s="91">
        <f>67.1400000000002-0.5</f>
        <v>66.6400000000002</v>
      </c>
      <c r="J23" s="123">
        <f t="shared" si="1"/>
        <v>2.4595264957310127E-6</v>
      </c>
    </row>
    <row r="24" spans="2:11" x14ac:dyDescent="0.3">
      <c r="B24" s="71" t="s">
        <v>122</v>
      </c>
      <c r="C24" s="71"/>
      <c r="D24" s="71"/>
      <c r="E24" s="72"/>
      <c r="F24" s="87"/>
      <c r="G24" s="73"/>
      <c r="H24" s="74"/>
      <c r="I24" s="75">
        <f>SUM(I19:I23)</f>
        <v>66355.53</v>
      </c>
      <c r="J24" s="120">
        <f>SUM(J19:J23)</f>
        <v>2.4490273735485232E-3</v>
      </c>
    </row>
    <row r="25" spans="2:11" x14ac:dyDescent="0.3">
      <c r="B25" s="71"/>
      <c r="C25" s="71"/>
      <c r="D25" s="71"/>
      <c r="E25" s="72"/>
      <c r="F25" s="72"/>
      <c r="G25" s="73"/>
      <c r="H25" s="74"/>
      <c r="I25" s="75"/>
      <c r="J25" s="120"/>
    </row>
    <row r="26" spans="2:11" x14ac:dyDescent="0.3">
      <c r="B26" s="71"/>
      <c r="C26" s="71"/>
      <c r="D26" s="71"/>
      <c r="E26" s="72"/>
      <c r="F26" s="72"/>
      <c r="G26" s="73"/>
      <c r="H26" s="74"/>
      <c r="I26" s="75"/>
      <c r="J26" s="120"/>
    </row>
    <row r="27" spans="2:11" x14ac:dyDescent="0.3">
      <c r="B27" s="118" t="s">
        <v>118</v>
      </c>
      <c r="C27" s="71"/>
      <c r="D27" s="71"/>
      <c r="E27" s="72"/>
      <c r="F27" s="72"/>
      <c r="G27" s="73"/>
      <c r="H27" s="74"/>
      <c r="I27" s="75"/>
      <c r="J27" s="120"/>
    </row>
    <row r="28" spans="2:11" x14ac:dyDescent="0.3">
      <c r="B28" s="76" t="s">
        <v>98</v>
      </c>
      <c r="C28" s="76" t="s">
        <v>147</v>
      </c>
      <c r="D28" s="76" t="s">
        <v>184</v>
      </c>
      <c r="E28" s="77">
        <v>48075</v>
      </c>
      <c r="F28" s="78">
        <v>673989.76</v>
      </c>
      <c r="G28" s="79" t="s">
        <v>81</v>
      </c>
      <c r="H28" s="80">
        <v>15.514621999999999</v>
      </c>
      <c r="I28" s="81">
        <v>745865.46</v>
      </c>
      <c r="J28" s="121">
        <f t="shared" ref="J28:J59" si="2">I28/$I$82</f>
        <v>2.7528149176479503E-2</v>
      </c>
      <c r="K28" s="76"/>
    </row>
    <row r="29" spans="2:11" x14ac:dyDescent="0.3">
      <c r="B29" s="76" t="s">
        <v>113</v>
      </c>
      <c r="C29" s="76" t="s">
        <v>158</v>
      </c>
      <c r="D29" s="76" t="s">
        <v>184</v>
      </c>
      <c r="E29" s="77">
        <v>115281</v>
      </c>
      <c r="F29" s="78">
        <v>272147.27</v>
      </c>
      <c r="G29" s="79" t="s">
        <v>81</v>
      </c>
      <c r="H29" s="80">
        <v>2.3129249999999999</v>
      </c>
      <c r="I29" s="81">
        <v>266636.34000000003</v>
      </c>
      <c r="J29" s="121">
        <f t="shared" si="2"/>
        <v>9.8409235137266043E-3</v>
      </c>
      <c r="K29" s="76"/>
    </row>
    <row r="30" spans="2:11" x14ac:dyDescent="0.3">
      <c r="B30" s="76" t="s">
        <v>80</v>
      </c>
      <c r="C30" s="76" t="s">
        <v>177</v>
      </c>
      <c r="D30" s="76" t="s">
        <v>184</v>
      </c>
      <c r="E30" s="77">
        <v>13434</v>
      </c>
      <c r="F30" s="78">
        <v>475126.93</v>
      </c>
      <c r="G30" s="79" t="s">
        <v>81</v>
      </c>
      <c r="H30" s="80">
        <v>37.855378000000002</v>
      </c>
      <c r="I30" s="81">
        <v>508549.14</v>
      </c>
      <c r="J30" s="121">
        <f t="shared" si="2"/>
        <v>1.8769359006770955E-2</v>
      </c>
      <c r="K30" s="92"/>
    </row>
    <row r="31" spans="2:11" x14ac:dyDescent="0.3">
      <c r="B31" s="76" t="s">
        <v>111</v>
      </c>
      <c r="C31" s="76" t="s">
        <v>142</v>
      </c>
      <c r="D31" s="76" t="s">
        <v>185</v>
      </c>
      <c r="E31" s="77">
        <v>189900</v>
      </c>
      <c r="F31" s="78">
        <v>492074.57</v>
      </c>
      <c r="G31" s="79" t="s">
        <v>106</v>
      </c>
      <c r="H31" s="80">
        <v>3.2007910000000002</v>
      </c>
      <c r="I31" s="81">
        <v>607830.26</v>
      </c>
      <c r="J31" s="121">
        <f t="shared" si="2"/>
        <v>2.243359287780711E-2</v>
      </c>
      <c r="K31" s="76"/>
    </row>
    <row r="32" spans="2:11" x14ac:dyDescent="0.3">
      <c r="B32" s="76" t="s">
        <v>105</v>
      </c>
      <c r="C32" s="76" t="s">
        <v>149</v>
      </c>
      <c r="D32" s="76" t="s">
        <v>185</v>
      </c>
      <c r="E32" s="77">
        <v>63000</v>
      </c>
      <c r="F32" s="78">
        <v>407680.22</v>
      </c>
      <c r="G32" s="79" t="s">
        <v>106</v>
      </c>
      <c r="H32" s="80">
        <v>8.1461290000000002</v>
      </c>
      <c r="I32" s="81">
        <v>513206.16</v>
      </c>
      <c r="J32" s="121">
        <f t="shared" si="2"/>
        <v>1.8941238719873431E-2</v>
      </c>
      <c r="K32" s="76"/>
    </row>
    <row r="33" spans="2:11" x14ac:dyDescent="0.3">
      <c r="B33" s="76" t="s">
        <v>86</v>
      </c>
      <c r="C33" s="76" t="s">
        <v>157</v>
      </c>
      <c r="D33" s="76" t="s">
        <v>186</v>
      </c>
      <c r="E33" s="77">
        <v>5784</v>
      </c>
      <c r="F33" s="78">
        <v>434494.08</v>
      </c>
      <c r="G33" s="79" t="s">
        <v>53</v>
      </c>
      <c r="H33" s="80">
        <v>64.31</v>
      </c>
      <c r="I33" s="81">
        <v>371969.04</v>
      </c>
      <c r="J33" s="121">
        <f t="shared" si="2"/>
        <v>1.3728507044892348E-2</v>
      </c>
      <c r="K33" s="76"/>
    </row>
    <row r="34" spans="2:11" x14ac:dyDescent="0.3">
      <c r="B34" s="76" t="s">
        <v>103</v>
      </c>
      <c r="C34" s="76" t="s">
        <v>173</v>
      </c>
      <c r="D34" s="76" t="s">
        <v>186</v>
      </c>
      <c r="E34" s="77">
        <v>11272</v>
      </c>
      <c r="F34" s="78">
        <v>578682.78</v>
      </c>
      <c r="G34" s="79" t="s">
        <v>104</v>
      </c>
      <c r="H34" s="80">
        <v>50.206156999999997</v>
      </c>
      <c r="I34" s="81">
        <v>565923.80000000005</v>
      </c>
      <c r="J34" s="121">
        <f t="shared" si="2"/>
        <v>2.088692347936336E-2</v>
      </c>
      <c r="K34" s="76"/>
    </row>
    <row r="35" spans="2:11" x14ac:dyDescent="0.3">
      <c r="B35" s="76" t="s">
        <v>52</v>
      </c>
      <c r="C35" s="76" t="s">
        <v>174</v>
      </c>
      <c r="D35" s="76" t="s">
        <v>186</v>
      </c>
      <c r="E35" s="77">
        <v>9645</v>
      </c>
      <c r="F35" s="78">
        <v>791661.6</v>
      </c>
      <c r="G35" s="79" t="s">
        <v>53</v>
      </c>
      <c r="H35" s="80">
        <v>79.42</v>
      </c>
      <c r="I35" s="81">
        <v>766005.9</v>
      </c>
      <c r="J35" s="121">
        <f t="shared" si="2"/>
        <v>2.827148569832345E-2</v>
      </c>
      <c r="K35" s="76"/>
    </row>
    <row r="36" spans="2:11" x14ac:dyDescent="0.3">
      <c r="B36" s="76" t="s">
        <v>110</v>
      </c>
      <c r="C36" s="76" t="s">
        <v>140</v>
      </c>
      <c r="D36" s="76" t="s">
        <v>194</v>
      </c>
      <c r="E36" s="77">
        <v>998000</v>
      </c>
      <c r="F36" s="78">
        <v>759533.37</v>
      </c>
      <c r="G36" s="79" t="s">
        <v>69</v>
      </c>
      <c r="H36" s="80">
        <v>0.75210100000000002</v>
      </c>
      <c r="I36" s="81">
        <v>750596.32</v>
      </c>
      <c r="J36" s="121">
        <f t="shared" si="2"/>
        <v>2.7702754151233314E-2</v>
      </c>
      <c r="K36" s="76"/>
    </row>
    <row r="37" spans="2:11" x14ac:dyDescent="0.3">
      <c r="B37" s="76" t="s">
        <v>68</v>
      </c>
      <c r="C37" s="76" t="s">
        <v>141</v>
      </c>
      <c r="D37" s="76" t="s">
        <v>194</v>
      </c>
      <c r="E37" s="77">
        <v>171000</v>
      </c>
      <c r="F37" s="78">
        <v>326884.86</v>
      </c>
      <c r="G37" s="79" t="s">
        <v>69</v>
      </c>
      <c r="H37" s="80">
        <v>2.278009</v>
      </c>
      <c r="I37" s="81">
        <v>389539.55</v>
      </c>
      <c r="J37" s="121">
        <f t="shared" si="2"/>
        <v>1.4376993462787105E-2</v>
      </c>
      <c r="K37" s="76"/>
    </row>
    <row r="38" spans="2:11" x14ac:dyDescent="0.3">
      <c r="B38" s="76" t="s">
        <v>100</v>
      </c>
      <c r="C38" s="76" t="s">
        <v>170</v>
      </c>
      <c r="D38" s="76" t="s">
        <v>194</v>
      </c>
      <c r="E38" s="77">
        <v>287600</v>
      </c>
      <c r="F38" s="78">
        <v>381749.53</v>
      </c>
      <c r="G38" s="79" t="s">
        <v>69</v>
      </c>
      <c r="H38" s="80">
        <v>1.0713280000000001</v>
      </c>
      <c r="I38" s="81">
        <v>308114</v>
      </c>
      <c r="J38" s="121">
        <f t="shared" si="2"/>
        <v>1.1371766907347883E-2</v>
      </c>
      <c r="K38" s="76"/>
    </row>
    <row r="39" spans="2:11" x14ac:dyDescent="0.3">
      <c r="B39" s="76" t="s">
        <v>84</v>
      </c>
      <c r="C39" s="76" t="s">
        <v>176</v>
      </c>
      <c r="D39" s="76" t="s">
        <v>194</v>
      </c>
      <c r="E39" s="77">
        <v>115000</v>
      </c>
      <c r="F39" s="78">
        <v>207752.77</v>
      </c>
      <c r="G39" s="79" t="s">
        <v>69</v>
      </c>
      <c r="H39" s="80">
        <v>1.580816</v>
      </c>
      <c r="I39" s="81">
        <v>181793.8</v>
      </c>
      <c r="J39" s="121">
        <f t="shared" si="2"/>
        <v>6.7095838514349216E-3</v>
      </c>
      <c r="K39" s="76"/>
    </row>
    <row r="40" spans="2:11" x14ac:dyDescent="0.3">
      <c r="B40" s="76" t="s">
        <v>82</v>
      </c>
      <c r="C40" s="76" t="s">
        <v>134</v>
      </c>
      <c r="D40" s="76" t="s">
        <v>190</v>
      </c>
      <c r="E40" s="77">
        <v>4822</v>
      </c>
      <c r="F40" s="78">
        <v>167205.87</v>
      </c>
      <c r="G40" s="79" t="s">
        <v>55</v>
      </c>
      <c r="H40" s="80">
        <v>27.560347</v>
      </c>
      <c r="I40" s="81">
        <v>132896</v>
      </c>
      <c r="J40" s="121">
        <f t="shared" si="2"/>
        <v>4.9048804498299471E-3</v>
      </c>
      <c r="K40" s="76"/>
    </row>
    <row r="41" spans="2:11" x14ac:dyDescent="0.3">
      <c r="B41" s="76" t="s">
        <v>74</v>
      </c>
      <c r="C41" s="76" t="s">
        <v>135</v>
      </c>
      <c r="D41" s="76" t="s">
        <v>190</v>
      </c>
      <c r="E41" s="77">
        <v>15133</v>
      </c>
      <c r="F41" s="78">
        <v>447628.09</v>
      </c>
      <c r="G41" s="79" t="s">
        <v>55</v>
      </c>
      <c r="H41" s="80">
        <v>29.557555000000001</v>
      </c>
      <c r="I41" s="81">
        <v>447294.48</v>
      </c>
      <c r="J41" s="121">
        <f t="shared" si="2"/>
        <v>1.6508592811437905E-2</v>
      </c>
      <c r="K41" s="76"/>
    </row>
    <row r="42" spans="2:11" x14ac:dyDescent="0.3">
      <c r="B42" s="76" t="s">
        <v>70</v>
      </c>
      <c r="C42" s="76" t="s">
        <v>138</v>
      </c>
      <c r="D42" s="76" t="s">
        <v>190</v>
      </c>
      <c r="E42" s="77">
        <v>37375</v>
      </c>
      <c r="F42" s="78">
        <v>765030.31</v>
      </c>
      <c r="G42" s="79" t="s">
        <v>55</v>
      </c>
      <c r="H42" s="80">
        <v>21.858015000000002</v>
      </c>
      <c r="I42" s="81">
        <v>816943.3</v>
      </c>
      <c r="J42" s="121">
        <f t="shared" si="2"/>
        <v>3.0151465964284564E-2</v>
      </c>
      <c r="K42" s="76"/>
    </row>
    <row r="43" spans="2:11" x14ac:dyDescent="0.3">
      <c r="B43" s="76" t="s">
        <v>63</v>
      </c>
      <c r="C43" s="76" t="s">
        <v>143</v>
      </c>
      <c r="D43" s="76" t="s">
        <v>190</v>
      </c>
      <c r="E43" s="77">
        <v>10537</v>
      </c>
      <c r="F43" s="78">
        <v>711900.6</v>
      </c>
      <c r="G43" s="79" t="s">
        <v>55</v>
      </c>
      <c r="H43" s="80">
        <v>60.383530999999998</v>
      </c>
      <c r="I43" s="81">
        <v>636261.26</v>
      </c>
      <c r="J43" s="121">
        <f t="shared" si="2"/>
        <v>2.3482914573487303E-2</v>
      </c>
      <c r="K43" s="76"/>
    </row>
    <row r="44" spans="2:11" x14ac:dyDescent="0.3">
      <c r="B44" s="76" t="s">
        <v>99</v>
      </c>
      <c r="C44" s="76" t="s">
        <v>146</v>
      </c>
      <c r="D44" s="76" t="s">
        <v>190</v>
      </c>
      <c r="E44" s="77">
        <v>34226</v>
      </c>
      <c r="F44" s="78">
        <v>401933.34</v>
      </c>
      <c r="G44" s="79" t="s">
        <v>55</v>
      </c>
      <c r="H44" s="80">
        <v>10.952928999999999</v>
      </c>
      <c r="I44" s="81">
        <v>374874.95</v>
      </c>
      <c r="J44" s="121">
        <f t="shared" si="2"/>
        <v>1.3835757384616383E-2</v>
      </c>
      <c r="K44" s="76"/>
    </row>
    <row r="45" spans="2:11" x14ac:dyDescent="0.3">
      <c r="B45" s="76" t="s">
        <v>61</v>
      </c>
      <c r="C45" s="76" t="s">
        <v>154</v>
      </c>
      <c r="D45" s="76" t="s">
        <v>190</v>
      </c>
      <c r="E45" s="77">
        <v>1532</v>
      </c>
      <c r="F45" s="78">
        <v>595942.88</v>
      </c>
      <c r="G45" s="79" t="s">
        <v>55</v>
      </c>
      <c r="H45" s="80">
        <v>404.83780300000001</v>
      </c>
      <c r="I45" s="81">
        <v>620211.51</v>
      </c>
      <c r="J45" s="121">
        <f t="shared" si="2"/>
        <v>2.2890555849374779E-2</v>
      </c>
      <c r="K45" s="76"/>
    </row>
    <row r="46" spans="2:11" x14ac:dyDescent="0.3">
      <c r="B46" s="76" t="s">
        <v>59</v>
      </c>
      <c r="C46" s="76" t="s">
        <v>160</v>
      </c>
      <c r="D46" s="76" t="s">
        <v>190</v>
      </c>
      <c r="E46" s="77">
        <v>6764</v>
      </c>
      <c r="F46" s="78">
        <v>276522.15000000002</v>
      </c>
      <c r="G46" s="79" t="s">
        <v>55</v>
      </c>
      <c r="H46" s="80">
        <v>35.493544</v>
      </c>
      <c r="I46" s="81">
        <v>240078.33</v>
      </c>
      <c r="J46" s="121">
        <f t="shared" si="2"/>
        <v>8.8607294970866127E-3</v>
      </c>
      <c r="K46" s="76"/>
    </row>
    <row r="47" spans="2:11" x14ac:dyDescent="0.3">
      <c r="B47" s="76" t="s">
        <v>91</v>
      </c>
      <c r="C47" s="76" t="s">
        <v>166</v>
      </c>
      <c r="D47" s="76" t="s">
        <v>190</v>
      </c>
      <c r="E47" s="77">
        <v>28750</v>
      </c>
      <c r="F47" s="78">
        <v>653112.37</v>
      </c>
      <c r="G47" s="79" t="s">
        <v>55</v>
      </c>
      <c r="H47" s="80">
        <v>21.618794999999999</v>
      </c>
      <c r="I47" s="81">
        <v>621540.35</v>
      </c>
      <c r="J47" s="121">
        <f t="shared" si="2"/>
        <v>2.2939600224953817E-2</v>
      </c>
      <c r="K47" s="76"/>
    </row>
    <row r="48" spans="2:11" x14ac:dyDescent="0.3">
      <c r="B48" s="76" t="s">
        <v>54</v>
      </c>
      <c r="C48" s="76" t="s">
        <v>169</v>
      </c>
      <c r="D48" s="76" t="s">
        <v>190</v>
      </c>
      <c r="E48" s="77">
        <v>3064</v>
      </c>
      <c r="F48" s="78">
        <v>481195.69</v>
      </c>
      <c r="G48" s="79" t="s">
        <v>55</v>
      </c>
      <c r="H48" s="80">
        <v>169.30086600000001</v>
      </c>
      <c r="I48" s="81">
        <v>518737.85</v>
      </c>
      <c r="J48" s="121">
        <f t="shared" si="2"/>
        <v>1.9145400456385589E-2</v>
      </c>
      <c r="K48" s="76"/>
    </row>
    <row r="49" spans="2:11" x14ac:dyDescent="0.3">
      <c r="B49" s="76" t="s">
        <v>71</v>
      </c>
      <c r="C49" s="76" t="s">
        <v>172</v>
      </c>
      <c r="D49" s="76" t="s">
        <v>190</v>
      </c>
      <c r="E49" s="77">
        <v>2337</v>
      </c>
      <c r="F49" s="78">
        <v>401744.2</v>
      </c>
      <c r="G49" s="79" t="s">
        <v>55</v>
      </c>
      <c r="H49" s="80">
        <v>187.92663200000001</v>
      </c>
      <c r="I49" s="81">
        <v>439184.54</v>
      </c>
      <c r="J49" s="121">
        <f t="shared" si="2"/>
        <v>1.6209273899241199E-2</v>
      </c>
      <c r="K49" s="76"/>
    </row>
    <row r="50" spans="2:11" x14ac:dyDescent="0.3">
      <c r="B50" s="76" t="s">
        <v>72</v>
      </c>
      <c r="C50" s="76" t="s">
        <v>136</v>
      </c>
      <c r="D50" s="76" t="s">
        <v>191</v>
      </c>
      <c r="E50" s="77">
        <v>6758</v>
      </c>
      <c r="F50" s="78">
        <v>701176.91</v>
      </c>
      <c r="G50" s="79" t="s">
        <v>55</v>
      </c>
      <c r="H50" s="80">
        <v>87.454312000000002</v>
      </c>
      <c r="I50" s="81">
        <v>591016.24</v>
      </c>
      <c r="J50" s="121">
        <f t="shared" si="2"/>
        <v>2.1813026736004121E-2</v>
      </c>
      <c r="K50" s="76"/>
    </row>
    <row r="51" spans="2:11" x14ac:dyDescent="0.3">
      <c r="B51" s="76" t="s">
        <v>78</v>
      </c>
      <c r="C51" s="76" t="s">
        <v>144</v>
      </c>
      <c r="D51" s="76" t="s">
        <v>191</v>
      </c>
      <c r="E51" s="77">
        <v>7786</v>
      </c>
      <c r="F51" s="78">
        <v>451443.59</v>
      </c>
      <c r="G51" s="79" t="s">
        <v>55</v>
      </c>
      <c r="H51" s="80">
        <v>51.003889000000001</v>
      </c>
      <c r="I51" s="81">
        <v>397116.28</v>
      </c>
      <c r="J51" s="121">
        <f t="shared" si="2"/>
        <v>1.4656632841328522E-2</v>
      </c>
      <c r="K51" s="76"/>
    </row>
    <row r="52" spans="2:11" x14ac:dyDescent="0.3">
      <c r="B52" s="76" t="s">
        <v>83</v>
      </c>
      <c r="C52" s="76" t="s">
        <v>145</v>
      </c>
      <c r="D52" s="76" t="s">
        <v>191</v>
      </c>
      <c r="E52" s="77">
        <v>7633</v>
      </c>
      <c r="F52" s="78">
        <v>396888.93</v>
      </c>
      <c r="G52" s="79" t="s">
        <v>55</v>
      </c>
      <c r="H52" s="80">
        <v>48.455919999999999</v>
      </c>
      <c r="I52" s="81">
        <v>369864.03</v>
      </c>
      <c r="J52" s="121">
        <f t="shared" si="2"/>
        <v>1.3650816050462897E-2</v>
      </c>
      <c r="K52" s="76"/>
    </row>
    <row r="53" spans="2:11" x14ac:dyDescent="0.3">
      <c r="B53" s="76" t="s">
        <v>97</v>
      </c>
      <c r="C53" s="76" t="s">
        <v>156</v>
      </c>
      <c r="D53" s="76" t="s">
        <v>195</v>
      </c>
      <c r="E53" s="77">
        <v>550000</v>
      </c>
      <c r="F53" s="78">
        <v>618005.24</v>
      </c>
      <c r="G53" s="79" t="s">
        <v>69</v>
      </c>
      <c r="H53" s="80">
        <v>1.087928</v>
      </c>
      <c r="I53" s="81">
        <v>598360.44999999995</v>
      </c>
      <c r="J53" s="121">
        <f t="shared" si="2"/>
        <v>2.2084084345326039E-2</v>
      </c>
      <c r="K53" s="76"/>
    </row>
    <row r="54" spans="2:11" x14ac:dyDescent="0.3">
      <c r="B54" s="93" t="s">
        <v>73</v>
      </c>
      <c r="C54" s="93" t="s">
        <v>178</v>
      </c>
      <c r="D54" s="76" t="s">
        <v>200</v>
      </c>
      <c r="E54" s="94">
        <v>96437</v>
      </c>
      <c r="F54" s="95">
        <v>710740.69</v>
      </c>
      <c r="G54" s="96" t="s">
        <v>53</v>
      </c>
      <c r="H54" s="97">
        <v>7.71</v>
      </c>
      <c r="I54" s="98">
        <v>743529.27</v>
      </c>
      <c r="J54" s="124">
        <f t="shared" si="2"/>
        <v>2.7441925869095624E-2</v>
      </c>
      <c r="K54" s="92"/>
    </row>
    <row r="55" spans="2:11" x14ac:dyDescent="0.3">
      <c r="B55" s="76" t="s">
        <v>56</v>
      </c>
      <c r="C55" s="76" t="s">
        <v>148</v>
      </c>
      <c r="D55" s="76" t="s">
        <v>196</v>
      </c>
      <c r="E55" s="77">
        <v>3900</v>
      </c>
      <c r="F55" s="78">
        <v>543121.66</v>
      </c>
      <c r="G55" s="79" t="s">
        <v>57</v>
      </c>
      <c r="H55" s="80">
        <v>151.719876</v>
      </c>
      <c r="I55" s="81">
        <v>591707.52</v>
      </c>
      <c r="J55" s="121">
        <f t="shared" si="2"/>
        <v>2.1838540263554678E-2</v>
      </c>
      <c r="K55" s="76"/>
    </row>
    <row r="56" spans="2:11" x14ac:dyDescent="0.3">
      <c r="B56" s="76" t="s">
        <v>96</v>
      </c>
      <c r="C56" s="76" t="s">
        <v>150</v>
      </c>
      <c r="D56" s="76" t="s">
        <v>196</v>
      </c>
      <c r="E56" s="77">
        <v>41800</v>
      </c>
      <c r="F56" s="78">
        <v>563946.62</v>
      </c>
      <c r="G56" s="79" t="s">
        <v>57</v>
      </c>
      <c r="H56" s="80">
        <v>13.083418999999999</v>
      </c>
      <c r="I56" s="81">
        <v>546886.92000000004</v>
      </c>
      <c r="J56" s="121">
        <f t="shared" si="2"/>
        <v>2.0184316775340976E-2</v>
      </c>
      <c r="K56" s="76"/>
    </row>
    <row r="57" spans="2:11" x14ac:dyDescent="0.3">
      <c r="B57" s="76" t="s">
        <v>88</v>
      </c>
      <c r="C57" s="76" t="s">
        <v>151</v>
      </c>
      <c r="D57" s="76" t="s">
        <v>196</v>
      </c>
      <c r="E57" s="77">
        <v>21100</v>
      </c>
      <c r="F57" s="78">
        <v>695171.03</v>
      </c>
      <c r="G57" s="79" t="s">
        <v>57</v>
      </c>
      <c r="H57" s="80">
        <v>34.142122000000001</v>
      </c>
      <c r="I57" s="81">
        <v>720398.76</v>
      </c>
      <c r="J57" s="121">
        <f t="shared" si="2"/>
        <v>2.6588232858819949E-2</v>
      </c>
      <c r="K57" s="76"/>
    </row>
    <row r="58" spans="2:11" x14ac:dyDescent="0.3">
      <c r="B58" s="76" t="s">
        <v>85</v>
      </c>
      <c r="C58" s="76" t="s">
        <v>155</v>
      </c>
      <c r="D58" s="76" t="s">
        <v>196</v>
      </c>
      <c r="E58" s="77">
        <v>13300</v>
      </c>
      <c r="F58" s="78">
        <v>564210.89</v>
      </c>
      <c r="G58" s="79" t="s">
        <v>57</v>
      </c>
      <c r="H58" s="80">
        <v>38.516992999999999</v>
      </c>
      <c r="I58" s="81">
        <v>512276</v>
      </c>
      <c r="J58" s="121">
        <f t="shared" si="2"/>
        <v>1.8906908690382598E-2</v>
      </c>
      <c r="K58" s="76"/>
    </row>
    <row r="59" spans="2:11" x14ac:dyDescent="0.3">
      <c r="B59" s="76" t="s">
        <v>101</v>
      </c>
      <c r="C59" s="76" t="s">
        <v>159</v>
      </c>
      <c r="D59" s="76" t="s">
        <v>196</v>
      </c>
      <c r="E59" s="77">
        <v>9200</v>
      </c>
      <c r="F59" s="78">
        <v>314384.32</v>
      </c>
      <c r="G59" s="79" t="s">
        <v>57</v>
      </c>
      <c r="H59" s="80">
        <v>32.774459</v>
      </c>
      <c r="I59" s="81">
        <v>301525.03000000003</v>
      </c>
      <c r="J59" s="121">
        <f t="shared" si="2"/>
        <v>1.112858343954211E-2</v>
      </c>
      <c r="K59" s="76"/>
    </row>
    <row r="60" spans="2:11" x14ac:dyDescent="0.3">
      <c r="B60" s="76" t="s">
        <v>89</v>
      </c>
      <c r="C60" s="76" t="s">
        <v>161</v>
      </c>
      <c r="D60" s="76" t="s">
        <v>196</v>
      </c>
      <c r="E60" s="77">
        <v>9900</v>
      </c>
      <c r="F60" s="78">
        <v>323158.17</v>
      </c>
      <c r="G60" s="79" t="s">
        <v>57</v>
      </c>
      <c r="H60" s="80">
        <v>33.120494000000001</v>
      </c>
      <c r="I60" s="81">
        <v>327892.89</v>
      </c>
      <c r="J60" s="121">
        <f t="shared" ref="J60:J91" si="3">I60/$I$82</f>
        <v>1.2101759464537995E-2</v>
      </c>
      <c r="K60" s="76"/>
    </row>
    <row r="61" spans="2:11" x14ac:dyDescent="0.3">
      <c r="B61" s="76" t="s">
        <v>62</v>
      </c>
      <c r="C61" s="76" t="s">
        <v>162</v>
      </c>
      <c r="D61" s="76" t="s">
        <v>196</v>
      </c>
      <c r="E61" s="77">
        <v>17300</v>
      </c>
      <c r="F61" s="78">
        <v>318072.76</v>
      </c>
      <c r="G61" s="79" t="s">
        <v>57</v>
      </c>
      <c r="H61" s="80">
        <v>19.92173</v>
      </c>
      <c r="I61" s="81">
        <v>344645.93</v>
      </c>
      <c r="J61" s="121">
        <f t="shared" si="3"/>
        <v>1.272007497720368E-2</v>
      </c>
      <c r="K61" s="76"/>
    </row>
    <row r="62" spans="2:11" x14ac:dyDescent="0.3">
      <c r="B62" s="76" t="s">
        <v>58</v>
      </c>
      <c r="C62" s="76" t="s">
        <v>163</v>
      </c>
      <c r="D62" s="76" t="s">
        <v>196</v>
      </c>
      <c r="E62" s="77">
        <v>19200</v>
      </c>
      <c r="F62" s="78">
        <v>385969.49</v>
      </c>
      <c r="G62" s="79" t="s">
        <v>57</v>
      </c>
      <c r="H62" s="80">
        <v>20.164778999999999</v>
      </c>
      <c r="I62" s="81">
        <v>387163.75</v>
      </c>
      <c r="J62" s="121">
        <f t="shared" si="3"/>
        <v>1.4289308242970812E-2</v>
      </c>
      <c r="K62" s="76"/>
    </row>
    <row r="63" spans="2:11" x14ac:dyDescent="0.3">
      <c r="B63" s="76" t="s">
        <v>94</v>
      </c>
      <c r="C63" s="76" t="s">
        <v>168</v>
      </c>
      <c r="D63" s="76" t="s">
        <v>196</v>
      </c>
      <c r="E63" s="77">
        <v>9400</v>
      </c>
      <c r="F63" s="78">
        <v>358725.61</v>
      </c>
      <c r="G63" s="79" t="s">
        <v>57</v>
      </c>
      <c r="H63" s="80">
        <v>36.745623000000002</v>
      </c>
      <c r="I63" s="81">
        <v>345408.86</v>
      </c>
      <c r="J63" s="121">
        <f t="shared" si="3"/>
        <v>1.2748232938629072E-2</v>
      </c>
      <c r="K63" s="76"/>
    </row>
    <row r="64" spans="2:11" x14ac:dyDescent="0.3">
      <c r="B64" s="76" t="s">
        <v>76</v>
      </c>
      <c r="C64" s="76" t="s">
        <v>179</v>
      </c>
      <c r="D64" s="76" t="s">
        <v>193</v>
      </c>
      <c r="E64" s="77">
        <v>53253</v>
      </c>
      <c r="F64" s="78">
        <v>849500.01</v>
      </c>
      <c r="G64" s="79" t="s">
        <v>65</v>
      </c>
      <c r="H64" s="80">
        <v>13.206004</v>
      </c>
      <c r="I64" s="81">
        <v>703259.36</v>
      </c>
      <c r="J64" s="121">
        <f t="shared" si="3"/>
        <v>2.5955657702443419E-2</v>
      </c>
      <c r="K64" s="76"/>
    </row>
    <row r="65" spans="2:11" x14ac:dyDescent="0.3">
      <c r="B65" s="76" t="s">
        <v>93</v>
      </c>
      <c r="C65" s="76" t="s">
        <v>152</v>
      </c>
      <c r="D65" s="76" t="s">
        <v>199</v>
      </c>
      <c r="E65" s="77">
        <v>10844</v>
      </c>
      <c r="F65" s="78">
        <v>563562.68000000005</v>
      </c>
      <c r="G65" s="79" t="s">
        <v>53</v>
      </c>
      <c r="H65" s="80">
        <v>48.83</v>
      </c>
      <c r="I65" s="81">
        <v>529512.52</v>
      </c>
      <c r="J65" s="121">
        <f t="shared" si="3"/>
        <v>1.9543068318746908E-2</v>
      </c>
      <c r="K65" s="76"/>
    </row>
    <row r="66" spans="2:11" x14ac:dyDescent="0.3">
      <c r="B66" s="76" t="s">
        <v>107</v>
      </c>
      <c r="C66" s="76" t="s">
        <v>171</v>
      </c>
      <c r="D66" s="76" t="s">
        <v>199</v>
      </c>
      <c r="E66" s="77">
        <v>15405</v>
      </c>
      <c r="F66" s="78">
        <v>517762.05</v>
      </c>
      <c r="G66" s="79" t="s">
        <v>53</v>
      </c>
      <c r="H66" s="80">
        <v>33.43</v>
      </c>
      <c r="I66" s="81">
        <v>514989.15</v>
      </c>
      <c r="J66" s="121">
        <f t="shared" si="3"/>
        <v>1.9007044709468623E-2</v>
      </c>
      <c r="K66" s="76"/>
    </row>
    <row r="67" spans="2:11" x14ac:dyDescent="0.3">
      <c r="B67" s="76" t="s">
        <v>79</v>
      </c>
      <c r="C67" s="76" t="s">
        <v>131</v>
      </c>
      <c r="D67" s="76" t="s">
        <v>189</v>
      </c>
      <c r="E67" s="77">
        <v>9623</v>
      </c>
      <c r="F67" s="78">
        <v>443749</v>
      </c>
      <c r="G67" s="79" t="s">
        <v>55</v>
      </c>
      <c r="H67" s="80">
        <v>45.507396</v>
      </c>
      <c r="I67" s="81">
        <v>437917.68</v>
      </c>
      <c r="J67" s="121">
        <f t="shared" si="3"/>
        <v>1.6162517060459958E-2</v>
      </c>
      <c r="K67" s="76"/>
    </row>
    <row r="68" spans="2:11" x14ac:dyDescent="0.3">
      <c r="B68" s="76" t="s">
        <v>77</v>
      </c>
      <c r="C68" s="76" t="s">
        <v>133</v>
      </c>
      <c r="D68" s="76" t="s">
        <v>189</v>
      </c>
      <c r="E68" s="77">
        <v>9616</v>
      </c>
      <c r="F68" s="78">
        <v>447128.68</v>
      </c>
      <c r="G68" s="79" t="s">
        <v>55</v>
      </c>
      <c r="H68" s="80">
        <v>46.987220999999998</v>
      </c>
      <c r="I68" s="81">
        <v>451829.12</v>
      </c>
      <c r="J68" s="121">
        <f t="shared" si="3"/>
        <v>1.6675955765048378E-2</v>
      </c>
      <c r="K68" s="76"/>
    </row>
    <row r="69" spans="2:11" x14ac:dyDescent="0.3">
      <c r="B69" s="76" t="s">
        <v>114</v>
      </c>
      <c r="C69" s="76" t="s">
        <v>164</v>
      </c>
      <c r="D69" s="76" t="s">
        <v>197</v>
      </c>
      <c r="E69" s="77">
        <v>15370</v>
      </c>
      <c r="F69" s="78">
        <v>544257.06999999995</v>
      </c>
      <c r="G69" s="79" t="s">
        <v>115</v>
      </c>
      <c r="H69" s="80">
        <v>35.752246999999997</v>
      </c>
      <c r="I69" s="81">
        <v>549512.03</v>
      </c>
      <c r="J69" s="121">
        <f t="shared" si="3"/>
        <v>2.0281203443996563E-2</v>
      </c>
      <c r="K69" s="76"/>
    </row>
    <row r="70" spans="2:11" x14ac:dyDescent="0.3">
      <c r="B70" s="76" t="s">
        <v>108</v>
      </c>
      <c r="C70" s="76" t="s">
        <v>132</v>
      </c>
      <c r="D70" s="76" t="s">
        <v>201</v>
      </c>
      <c r="E70" s="77">
        <v>39981</v>
      </c>
      <c r="F70" s="78">
        <v>556684.04</v>
      </c>
      <c r="G70" s="79" t="s">
        <v>109</v>
      </c>
      <c r="H70" s="80">
        <v>13.593157</v>
      </c>
      <c r="I70" s="81">
        <v>543467.99</v>
      </c>
      <c r="J70" s="121">
        <f t="shared" si="3"/>
        <v>2.0058132067627146E-2</v>
      </c>
      <c r="K70" s="76"/>
    </row>
    <row r="71" spans="2:11" x14ac:dyDescent="0.3">
      <c r="B71" s="76" t="s">
        <v>75</v>
      </c>
      <c r="C71" s="76" t="s">
        <v>130</v>
      </c>
      <c r="D71" s="76" t="s">
        <v>188</v>
      </c>
      <c r="E71" s="77">
        <v>47346</v>
      </c>
      <c r="F71" s="78">
        <v>611769.85</v>
      </c>
      <c r="G71" s="79" t="s">
        <v>55</v>
      </c>
      <c r="H71" s="80">
        <v>11.10425</v>
      </c>
      <c r="I71" s="81">
        <v>525741.81000000006</v>
      </c>
      <c r="J71" s="121">
        <f t="shared" si="3"/>
        <v>1.9403900234222331E-2</v>
      </c>
      <c r="K71" s="76"/>
    </row>
    <row r="72" spans="2:11" x14ac:dyDescent="0.3">
      <c r="B72" s="76" t="s">
        <v>66</v>
      </c>
      <c r="C72" s="76" t="s">
        <v>139</v>
      </c>
      <c r="D72" s="76" t="s">
        <v>198</v>
      </c>
      <c r="E72" s="77">
        <v>19230</v>
      </c>
      <c r="F72" s="78">
        <v>415917.08</v>
      </c>
      <c r="G72" s="79" t="s">
        <v>67</v>
      </c>
      <c r="H72" s="80">
        <v>25.033799999999999</v>
      </c>
      <c r="I72" s="81">
        <v>481399.98</v>
      </c>
      <c r="J72" s="121">
        <f t="shared" si="3"/>
        <v>1.7767347026626291E-2</v>
      </c>
      <c r="K72" s="76"/>
    </row>
    <row r="73" spans="2:11" x14ac:dyDescent="0.3">
      <c r="B73" s="76" t="s">
        <v>95</v>
      </c>
      <c r="C73" s="76" t="s">
        <v>167</v>
      </c>
      <c r="D73" s="76" t="s">
        <v>187</v>
      </c>
      <c r="E73" s="77">
        <v>2209</v>
      </c>
      <c r="F73" s="78">
        <v>828600.75</v>
      </c>
      <c r="G73" s="79" t="s">
        <v>87</v>
      </c>
      <c r="H73" s="80">
        <v>398.20700900000003</v>
      </c>
      <c r="I73" s="81">
        <v>879639.28</v>
      </c>
      <c r="J73" s="121">
        <f t="shared" si="3"/>
        <v>3.2465427908849709E-2</v>
      </c>
      <c r="K73" s="76"/>
    </row>
    <row r="74" spans="2:11" x14ac:dyDescent="0.3">
      <c r="B74" s="76" t="s">
        <v>112</v>
      </c>
      <c r="C74" s="76" t="s">
        <v>175</v>
      </c>
      <c r="D74" s="76" t="s">
        <v>187</v>
      </c>
      <c r="E74" s="77">
        <v>38316</v>
      </c>
      <c r="F74" s="78">
        <v>735284.04</v>
      </c>
      <c r="G74" s="79" t="s">
        <v>53</v>
      </c>
      <c r="H74" s="80">
        <v>19.54</v>
      </c>
      <c r="I74" s="81">
        <v>748694.64</v>
      </c>
      <c r="J74" s="121">
        <f t="shared" si="3"/>
        <v>2.7632567591413363E-2</v>
      </c>
      <c r="K74" s="76"/>
    </row>
    <row r="75" spans="2:11" x14ac:dyDescent="0.3">
      <c r="B75" s="76" t="s">
        <v>92</v>
      </c>
      <c r="C75" s="76" t="s">
        <v>129</v>
      </c>
      <c r="D75" s="76" t="s">
        <v>192</v>
      </c>
      <c r="E75" s="77">
        <v>30343</v>
      </c>
      <c r="F75" s="78">
        <v>540195.06999999995</v>
      </c>
      <c r="G75" s="79" t="s">
        <v>65</v>
      </c>
      <c r="H75" s="80">
        <v>18.281692</v>
      </c>
      <c r="I75" s="81">
        <v>554721.39</v>
      </c>
      <c r="J75" s="121">
        <f t="shared" si="3"/>
        <v>2.0473468734299703E-2</v>
      </c>
      <c r="K75" s="76"/>
    </row>
    <row r="76" spans="2:11" x14ac:dyDescent="0.3">
      <c r="B76" s="76" t="s">
        <v>64</v>
      </c>
      <c r="C76" s="76" t="s">
        <v>137</v>
      </c>
      <c r="D76" s="76" t="s">
        <v>192</v>
      </c>
      <c r="E76" s="77">
        <v>28543</v>
      </c>
      <c r="F76" s="78">
        <v>798410.47</v>
      </c>
      <c r="G76" s="79" t="s">
        <v>65</v>
      </c>
      <c r="H76" s="80">
        <v>22.040728999999999</v>
      </c>
      <c r="I76" s="81">
        <v>629108.54</v>
      </c>
      <c r="J76" s="121">
        <f t="shared" si="3"/>
        <v>2.3218924412074564E-2</v>
      </c>
      <c r="K76" s="76"/>
    </row>
    <row r="77" spans="2:11" x14ac:dyDescent="0.3">
      <c r="B77" s="76" t="s">
        <v>90</v>
      </c>
      <c r="C77" s="76" t="s">
        <v>153</v>
      </c>
      <c r="D77" s="76" t="s">
        <v>192</v>
      </c>
      <c r="E77" s="77">
        <v>134719</v>
      </c>
      <c r="F77" s="78">
        <v>539958.82999999996</v>
      </c>
      <c r="G77" s="79" t="s">
        <v>65</v>
      </c>
      <c r="H77" s="80">
        <v>3.3627250000000002</v>
      </c>
      <c r="I77" s="81">
        <v>453023</v>
      </c>
      <c r="J77" s="121">
        <f t="shared" si="3"/>
        <v>1.6720019082766314E-2</v>
      </c>
      <c r="K77" s="92"/>
    </row>
    <row r="78" spans="2:11" x14ac:dyDescent="0.3">
      <c r="B78" s="76" t="s">
        <v>102</v>
      </c>
      <c r="C78" s="76" t="s">
        <v>165</v>
      </c>
      <c r="D78" s="76" t="s">
        <v>202</v>
      </c>
      <c r="E78" s="77">
        <v>48736</v>
      </c>
      <c r="F78" s="78">
        <v>569236.47999999998</v>
      </c>
      <c r="G78" s="79" t="s">
        <v>53</v>
      </c>
      <c r="H78" s="80">
        <v>12.91</v>
      </c>
      <c r="I78" s="81">
        <v>629181.76</v>
      </c>
      <c r="J78" s="121">
        <f t="shared" si="3"/>
        <v>2.3221626790976387E-2</v>
      </c>
      <c r="K78" s="76"/>
    </row>
    <row r="79" spans="2:11" x14ac:dyDescent="0.3">
      <c r="B79" s="69"/>
      <c r="C79" s="69"/>
      <c r="D79" s="69"/>
      <c r="E79" s="69"/>
      <c r="F79" s="69"/>
      <c r="G79" s="70"/>
      <c r="H79" s="68"/>
      <c r="I79" s="41"/>
      <c r="J79" s="125"/>
    </row>
    <row r="80" spans="2:11" s="100" customFormat="1" x14ac:dyDescent="0.3">
      <c r="B80" s="99" t="s">
        <v>119</v>
      </c>
      <c r="C80" s="99"/>
      <c r="D80" s="99"/>
      <c r="F80" s="64">
        <f>+SUM(F28:F79)</f>
        <v>26611025.249999993</v>
      </c>
      <c r="G80" s="65"/>
      <c r="H80" s="101"/>
      <c r="I80" s="66">
        <f>+SUM(I28:I79)</f>
        <v>26233842.519999996</v>
      </c>
      <c r="J80" s="126">
        <f>+SUM(J28:J79)</f>
        <v>0.9682297533429568</v>
      </c>
    </row>
    <row r="81" spans="2:18" s="100" customFormat="1" x14ac:dyDescent="0.3">
      <c r="G81" s="102"/>
      <c r="H81" s="101"/>
      <c r="I81" s="103"/>
      <c r="J81" s="127"/>
    </row>
    <row r="82" spans="2:18" s="111" customFormat="1" ht="15" thickBot="1" x14ac:dyDescent="0.35">
      <c r="B82" s="104" t="s">
        <v>116</v>
      </c>
      <c r="C82" s="104"/>
      <c r="D82" s="104"/>
      <c r="E82" s="104"/>
      <c r="F82" s="105">
        <f>F80+F16</f>
        <v>27405321.949999992</v>
      </c>
      <c r="G82" s="106"/>
      <c r="H82" s="107"/>
      <c r="I82" s="108">
        <f>I80+I24+I16</f>
        <v>27094646.109999996</v>
      </c>
      <c r="J82" s="128">
        <f>J80+J24+J16</f>
        <v>1.0000000000000002</v>
      </c>
      <c r="K82" s="109"/>
      <c r="L82" s="109"/>
      <c r="M82" s="109"/>
      <c r="N82" s="109"/>
      <c r="O82" s="109"/>
      <c r="P82" s="110"/>
      <c r="Q82" s="110"/>
      <c r="R82" s="109"/>
    </row>
    <row r="89" spans="2:18" x14ac:dyDescent="0.3">
      <c r="I89" s="27"/>
    </row>
  </sheetData>
  <pageMargins left="0.7" right="0.7" top="0.75" bottom="0.75" header="0.3" footer="0.3"/>
  <pageSetup scale="56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8A2F9D9C8E74E894F80D8E47FFBE5" ma:contentTypeVersion="12" ma:contentTypeDescription="Create a new document." ma:contentTypeScope="" ma:versionID="f6309186189e7b7ef7a8996dab52576e">
  <xsd:schema xmlns:xsd="http://www.w3.org/2001/XMLSchema" xmlns:xs="http://www.w3.org/2001/XMLSchema" xmlns:p="http://schemas.microsoft.com/office/2006/metadata/properties" xmlns:ns2="5f9eed43-b60c-4666-aaa5-c52c6c5d1f59" xmlns:ns3="8f4c9ec4-68c2-441b-9400-ffe23a44f416" targetNamespace="http://schemas.microsoft.com/office/2006/metadata/properties" ma:root="true" ma:fieldsID="70cbb9e5c51efb355af4c82d9c54fa78" ns2:_="" ns3:_="">
    <xsd:import namespace="5f9eed43-b60c-4666-aaa5-c52c6c5d1f59"/>
    <xsd:import namespace="8f4c9ec4-68c2-441b-9400-ffe23a44f4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eed43-b60c-4666-aaa5-c52c6c5d1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c9ec4-68c2-441b-9400-ffe23a44f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59D200-A485-4128-A02E-5E7F6E578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eed43-b60c-4666-aaa5-c52c6c5d1f59"/>
    <ds:schemaRef ds:uri="8f4c9ec4-68c2-441b-9400-ffe23a44f4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28ABB1-D1BE-48AC-B648-84BD9AC9D776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5f9eed43-b60c-4666-aaa5-c52c6c5d1f59"/>
    <ds:schemaRef ds:uri="http://purl.org/dc/dcmitype/"/>
    <ds:schemaRef ds:uri="http://purl.org/dc/elements/1.1/"/>
    <ds:schemaRef ds:uri="http://schemas.microsoft.com/office/infopath/2007/PartnerControls"/>
    <ds:schemaRef ds:uri="8f4c9ec4-68c2-441b-9400-ffe23a44f41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87D7FA2-A188-4C46-A380-B86CE4B1C5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Output</vt:lpstr>
      <vt:lpstr>Portfolio Appraisal -&gt;</vt:lpstr>
      <vt:lpstr>ERS</vt:lpstr>
      <vt:lpstr>ERS!Print_Area</vt:lpstr>
      <vt:lpstr>Output!Print_Area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Fernandez</dc:creator>
  <cp:lastModifiedBy>Wilfredo Rodriguez</cp:lastModifiedBy>
  <cp:lastPrinted>2022-04-15T21:36:11Z</cp:lastPrinted>
  <dcterms:created xsi:type="dcterms:W3CDTF">2019-07-02T18:38:26Z</dcterms:created>
  <dcterms:modified xsi:type="dcterms:W3CDTF">2022-04-16T11:54:55Z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0x0101004268A2F9D9C8E74E894F80D8E47FFBE5</vt:lpwstr>
  </property>
</Properties>
</file>